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<sst xmlns="http://schemas.openxmlformats.org/spreadsheetml/2006/main" count="1238" uniqueCount="333">
  <si>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</si>
  <si>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</si>
  <si>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</si>
  <si>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</si>
  <si>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</si>
  <si>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</si>
  <si>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</si>
  <si>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</si>
  <si>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</si>
  <si>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</si>
  <si>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</si>
  <si>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</si>
  <si>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</si>
  <si>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</si>
  <si>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</si>
  <si>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</si>
  <si>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</si>
  <si>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</si>
  <si>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</si>
  <si>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</si>
  <si>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</si>
  <si>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</si>
  <si>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</si>
  <si>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</si>
  <si>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</si>
  <si>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</si>
  <si>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</si>
  <si>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</si>
  <si>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</si>
  <si>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</si>
  <si>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</si>
  <si>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</si>
  <si>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</si>
  <si>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</si>
  <si>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</si>
  <si>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</si>
  <si>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</si>
  <si>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</si>
  <si>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</si>
  <si>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</si>
  <si>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</si>
  <si>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</si>
  <si>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</si>
  <si>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</si>
  <si>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</si>
  <si>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</si>
  <si>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</si>
  <si>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</si>
  <si>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</si>
  <si>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</si>
  <si>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</si>
  <si>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</si>
  <si>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</si>
  <si>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</si>
  <si>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</si>
  <si>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</si>
  <si>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</si>
  <si>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</si>
  <si>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</si>
  <si>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</si>
  <si>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</si>
  <si>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</si>
  <si>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</si>
  <si>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</si>
  <si>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</si>
  <si>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</si>
  <si>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</si>
  <si>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</si>
  <si>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</si>
  <si>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</si>
  <si>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</si>
  <si>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</si>
  <si>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</si>
  <si>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</si>
  <si>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</si>
  <si>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</si>
  <si>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</si>
  <si>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</si>
  <si>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</si>
  <si>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</si>
  <si>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</si>
  <si>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</si>
  <si>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</si>
  <si>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</si>
  <si>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</si>
  <si>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</si>
  <si>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</si>
  <si>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</si>
  <si>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</si>
  <si>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</si>
  <si>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</si>
  <si>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</si>
  <si>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</si>
  <si>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</si>
  <si>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</si>
  <si>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</si>
  <si>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</si>
  <si>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</si>
  <si>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</si>
  <si>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</si>
  <si>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</si>
  <si>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</si>
  <si>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</si>
  <si>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</si>
  <si>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</si>
  <si>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</si>
  <si>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</si>
  <si>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</si>
  <si>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</si>
  <si>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</si>
  <si>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</si>
  <si>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</si>
  <si>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</si>
  <si>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</si>
  <si>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</si>
  <si>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</si>
  <si>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</si>
  <si>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</si>
  <si>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</si>
  <si>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</si>
  <si>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</si>
  <si>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</si>
  <si>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</si>
  <si>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</si>
  <si>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</si>
  <si>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</si>
  <si>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</si>
  <si>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</si>
  <si>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</si>
  <si>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</si>
  <si>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</si>
  <si>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</si>
  <si>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</si>
  <si>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</si>
  <si>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</si>
  <si>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</si>
  <si>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</si>
  <si>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</si>
  <si>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</si>
  <si>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</si>
  <si>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</si>
  <si>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</si>
  <si>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</si>
  <si>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</si>
  <si>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</si>
  <si>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</si>
  <si>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</si>
  <si>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</si>
  <si>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</si>
  <si>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</si>
  <si>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</si>
  <si>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</si>
  <si>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</si>
  <si>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</si>
  <si>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</si>
  <si>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</si>
  <si>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</si>
  <si>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</si>
  <si>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</si>
  <si>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</si>
  <si>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</si>
  <si>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</si>
  <si>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</si>
  <si>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</si>
  <si>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</si>
  <si>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</si>
  <si>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</si>
  <si>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</si>
  <si>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</si>
  <si>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</si>
  <si>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</si>
  <si>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</si>
  <si>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</si>
  <si>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</si>
  <si>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</si>
  <si>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</si>
  <si>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</si>
  <si>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</si>
  <si>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</si>
  <si>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</si>
  <si>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</si>
  <si>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</si>
  <si>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</si>
  <si>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</si>
  <si>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</si>
  <si>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</si>
  <si>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</si>
  <si>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</si>
  <si>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</si>
  <si>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</si>
  <si>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</si>
  <si>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</si>
  <si>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</si>
  <si>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</si>
  <si>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</si>
  <si>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</si>
  <si>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</si>
  <si>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</si>
  <si>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</si>
  <si>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</si>
  <si>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</si>
  <si>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</si>
  <si>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</si>
  <si>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</si>
  <si>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</si>
  <si>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</si>
  <si>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</si>
  <si>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</si>
  <si>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</si>
  <si>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</si>
  <si>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</si>
  <si>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</si>
  <si>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</si>
  <si>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</si>
  <si>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</si>
  <si>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</si>
  <si>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</si>
  <si>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</si>
  <si>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</si>
  <si>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</si>
  <si>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</si>
  <si>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</si>
  <si>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</si>
  <si>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</si>
  <si>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</si>
  <si>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</si>
  <si>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</si>
  <si>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</si>
  <si>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</si>
  <si>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</si>
  <si>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</si>
  <si>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</si>
  <si>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</si>
  <si>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</si>
  <si>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</si>
  <si>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</si>
  <si>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</si>
  <si>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</si>
  <si>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</si>
  <si>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</si>
  <si>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</si>
  <si>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</si>
  <si>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</si>
  <si>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</si>
  <si>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</si>
  <si>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</si>
  <si>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</si>
  <si>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</si>
  <si>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</si>
  <si>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>ค่าจ้างประกอบอาหารกลางวัน ศพด.</t>
  </si>
  <si>
    <t>.-</t>
  </si>
  <si>
    <t>เงินเกินบัญชี</t>
  </si>
  <si>
    <t>เงินช่วยเหลือค่ารักษาพยาบาล (รับโอนจาก สปสช.)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</si>
  <si>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</si>
  <si>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</si>
  <si>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</si>
  <si>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>เงินฝาก กรุงไทย หัวหิน 722-2-07251-9</t>
  </si>
  <si>
    <t xml:space="preserve">ค่าจ้างชั่วคราว </t>
  </si>
  <si>
    <t>ณ วันที่  31 พฤษภาคม  2557</t>
  </si>
  <si>
    <t xml:space="preserve">  ณ วันที่ 31 พฤษภาคม  2557</t>
  </si>
  <si>
    <t>เงินโครงการจัดให้มีสิ่งอำนวยความสะดวกแก่ผู้พิการฯ</t>
  </si>
  <si>
    <t>ปรับปรุงถึงโอนครั้งที่19/2557</t>
  </si>
  <si>
    <t>ตั้งแต่วันที่  1  ตุลาคม พ.ศ. 2556  ถึงวันที่  31 พฤษภาคม พ.ศ. 2557</t>
  </si>
  <si>
    <t>ตั้งแต่วันที่ 1 ตุลาคม 2556 ถึง วันที่ 31 พฤษภาคม  2557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</si>
  <si>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</si>
  <si>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</si>
  <si>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ประจำเดือน  พฤษภาคม   2557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</si>
  <si>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</si>
  <si>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</si>
  <si>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</si>
  <si>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</si>
  <si>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</si>
  <si>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</si>
  <si>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</si>
  <si>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</si>
  <si>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</si>
  <si>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</si>
  <si>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</si>
  <si>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</si>
  <si>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</si>
  <si>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</si>
  <si>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</si>
  <si>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</si>
  <si>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</si>
  <si>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</si>
  <si>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*00264</t>
  </si>
  <si>
    <t>*00311</t>
  </si>
  <si>
    <t>*00312</t>
  </si>
  <si>
    <t>*00321</t>
  </si>
  <si>
    <t>*00332</t>
  </si>
  <si>
    <t>*00411</t>
  </si>
  <si>
    <t>รวมเดือนนี้</t>
  </si>
  <si>
    <t>รวมตั้งแต่ต้นปี</t>
  </si>
  <si>
    <t>.+</t>
  </si>
  <si>
    <r>
      <rPr>
        <sz val="8"/>
        <rFont val="Angsana New"/>
        <family val="1"/>
      </rPr>
      <t>.</t>
    </r>
    <r>
      <rPr>
        <sz val="16"/>
        <rFont val="Angsana New"/>
        <family val="1"/>
      </rPr>
      <t>+</t>
    </r>
  </si>
  <si>
    <t>วันที่ 30 มิถุนายน  2557</t>
  </si>
  <si>
    <t>เงินโครงการปรับปรุงสภาพที่อยู่อาศัยผู้พิการ</t>
  </si>
  <si>
    <t>เงินสมทบกองทุนประกันสังคม</t>
  </si>
  <si>
    <t xml:space="preserve"> วันที่  31 กรกฎาคม 2557</t>
  </si>
  <si>
    <t>ตั้งแต่วันที่  1  ตุลาคม พ.ศ. 2556  ถึงวันที่  31 กรกฎาคม  พ.ศ. 2557</t>
  </si>
  <si>
    <t>ยอดคงเหลือตามรายงานธนาคาร ณ วันที่  31  กรกฎาคม   พ.ศ. 2557</t>
  </si>
  <si>
    <t>ยอดคงเหลือตามบัญชี ณ วันที่  31 กรกฎาคม  พ.ศ.2557</t>
  </si>
  <si>
    <t>วันที่   31 กรกฎาคม   พ.ศ.2557</t>
  </si>
  <si>
    <t>วันที่  31 กรกฎาคม   พ.ศ.2557</t>
  </si>
  <si>
    <t>ธนาคาร กรุงไทย จำกัด (มหาชน)  สาขาหัวหิน</t>
  </si>
  <si>
    <t>เลขที่บัญชี  722-1-45839-1</t>
  </si>
  <si>
    <t>2. เงินอุดหนุนเฉพาะกิจ</t>
  </si>
  <si>
    <t xml:space="preserve">  - เบี้ยยังชีพผู้สูงอายุ</t>
  </si>
  <si>
    <t xml:space="preserve">  - เบี้ยยังชีพผู้พิการ</t>
  </si>
  <si>
    <t xml:space="preserve">  - ค่าตอบแทนผู้ดูแลเด็กเล็ก</t>
  </si>
  <si>
    <t xml:space="preserve">  - เงินเพิ่มต่างๆ ของผู้ดูแลเด็กเล็ก</t>
  </si>
  <si>
    <t xml:space="preserve">  - เงินสมทบกองทุนประกันสังคมของผู้ดูแลเด็กเล็ก</t>
  </si>
  <si>
    <t>เงินขาดบัญชี</t>
  </si>
  <si>
    <t xml:space="preserve">            ผู้อำนวยการกองคลัง   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</si>
  <si>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     ( นางจิราพร รอดภัย )                                              ( นายนาวิน มูลมงคล )    </t>
  </si>
  <si>
    <t>รับคืนเงินอุดหนุนเฉพาะกิจ</t>
  </si>
  <si>
    <t>ณ วันที่   31 กรกฎาคม  2557</t>
  </si>
  <si>
    <r>
      <t xml:space="preserve">     ( นายทวีศักดิ์  อุดมวิชชากร )                        </t>
    </r>
    <r>
      <rPr>
        <sz val="14"/>
        <rFont val="AngsanaUPC"/>
        <family val="1"/>
      </rPr>
      <t xml:space="preserve">  ( นางจิราพร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</si>
  <si>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</si>
  <si>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t xml:space="preserve">            ผู้อำนวยการกองคลัง             ปลัดองค์การบริหารส่วนตำบลหินเหล็กไฟ     นายกองค์การบริหารส่วนตำบลหินเหล็กไฟ</t>
  </si>
  <si>
    <t xml:space="preserve">      ( นายทวีศักดิ์  อุดมวิชชากร )                        ( นางจิราพร รอดภัย )                                 ( นายนาวิน มูลมงคล )    </t>
  </si>
  <si>
    <t xml:space="preserve">  ณ วันที่  31 กรกฎาคม 2557</t>
  </si>
  <si>
    <t xml:space="preserve">            ผู้อำนวยการกองคลัง            ปลัดองค์การบริหารส่วนตำบลหินเหล็กไฟ            นายกองค์การบริหารส่วนตำบลหินเหล็กไฟ</t>
  </si>
  <si>
    <t xml:space="preserve">      ( นายทวีศักดิ์  อุดมวิชชากร )                       ( นางจิราพร รอดภัย )                                       ( นายนาวิน มูลมงคล )    </t>
  </si>
  <si>
    <t>งบกลาง (จ่ายจากเงินอุดหนุนเฉพาะกิจ)</t>
  </si>
  <si>
    <t>เงินเดือน (ฝ่ายประจำ) (จ่ายจากเงินอุดหนุนเฉพาะกิจ)</t>
  </si>
  <si>
    <t>เงินอุดหนุนเฉพาะกิจค้างจ่าย</t>
  </si>
  <si>
    <t>เงินอุดหนุนเฉพาะกิจฝากจังหวัด</t>
  </si>
  <si>
    <t>รับคืนเงินสมทบกองทุนประกันสังคม</t>
  </si>
  <si>
    <t xml:space="preserve">รับเงินอุดหนุนเฉพาะกิจ </t>
  </si>
  <si>
    <t>เงิอุดหนุนเฉพาะกิจฝากจังหวัด</t>
  </si>
  <si>
    <t xml:space="preserve">          ผู้อำนวยการกองคลัง           ปลัดองค์การบริหารส่วนตำบลหินเหล็กไฟ        นายกองค์การบริหารส่วนตำบลหินเหล็กไฟ</t>
  </si>
  <si>
    <t xml:space="preserve">     ( นายทวีศักดิ์  อุดมวิชชากร )                 ( นางจิราพร รอดภัย )                                        ( นายนาวิน มูลมงคล )             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</si>
</sst>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2"/>
      <name val="Angsana New"/>
      <family val="1"/>
    </font>
    <font>
      <sz val="10"/>
      <name val="AngsanaUPC"/>
      <family val="1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  <font>
      <b/>
      <sz val="9"/>
      <color theme="3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6" fillId="0" borderId="0" xfId="37" applyFont="1" applyAlignment="1">
      <alignment/>
    </xf>
    <xf numFmtId="43" fontId="77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43" fontId="78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79" fillId="0" borderId="17" xfId="0" applyFont="1" applyBorder="1" applyAlignment="1">
      <alignment/>
    </xf>
    <xf numFmtId="43" fontId="79" fillId="0" borderId="17" xfId="37" applyFont="1" applyBorder="1" applyAlignment="1">
      <alignment/>
    </xf>
    <xf numFmtId="43" fontId="79" fillId="0" borderId="17" xfId="37" applyFont="1" applyBorder="1" applyAlignment="1">
      <alignment horizontal="right"/>
    </xf>
    <xf numFmtId="43" fontId="79" fillId="33" borderId="17" xfId="0" applyNumberFormat="1" applyFont="1" applyFill="1" applyBorder="1" applyAlignment="1">
      <alignment/>
    </xf>
    <xf numFmtId="43" fontId="80" fillId="0" borderId="0" xfId="37" applyFont="1" applyAlignment="1">
      <alignment/>
    </xf>
    <xf numFmtId="0" fontId="80" fillId="0" borderId="0" xfId="0" applyFont="1" applyAlignment="1">
      <alignment/>
    </xf>
    <xf numFmtId="43" fontId="80" fillId="0" borderId="0" xfId="0" applyNumberFormat="1" applyFont="1" applyAlignment="1">
      <alignment/>
    </xf>
    <xf numFmtId="43" fontId="80" fillId="0" borderId="17" xfId="0" applyNumberFormat="1" applyFont="1" applyBorder="1" applyAlignment="1">
      <alignment/>
    </xf>
    <xf numFmtId="43" fontId="79" fillId="33" borderId="17" xfId="37" applyFont="1" applyFill="1" applyBorder="1" applyAlignment="1">
      <alignment/>
    </xf>
    <xf numFmtId="43" fontId="79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43" fontId="24" fillId="34" borderId="17" xfId="37" applyFont="1" applyFill="1" applyBorder="1" applyAlignment="1">
      <alignment/>
    </xf>
    <xf numFmtId="0" fontId="22" fillId="34" borderId="0" xfId="0" applyFont="1" applyFill="1" applyAlignment="1">
      <alignment/>
    </xf>
    <xf numFmtId="43" fontId="14" fillId="0" borderId="0" xfId="37" applyFont="1" applyBorder="1" applyAlignment="1">
      <alignment horizontal="center"/>
    </xf>
    <xf numFmtId="0" fontId="14" fillId="0" borderId="0" xfId="0" applyFont="1" applyBorder="1" applyAlignment="1">
      <alignment/>
    </xf>
    <xf numFmtId="43" fontId="13" fillId="0" borderId="0" xfId="37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37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28" fillId="0" borderId="0" xfId="37" applyFont="1" applyAlignment="1">
      <alignment horizontal="center"/>
    </xf>
    <xf numFmtId="15" fontId="28" fillId="0" borderId="0" xfId="37" applyNumberFormat="1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43" fontId="32" fillId="0" borderId="17" xfId="37" applyFont="1" applyBorder="1" applyAlignment="1">
      <alignment/>
    </xf>
    <xf numFmtId="0" fontId="32" fillId="0" borderId="17" xfId="0" applyFont="1" applyBorder="1" applyAlignment="1">
      <alignment/>
    </xf>
    <xf numFmtId="43" fontId="32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43" fontId="33" fillId="0" borderId="17" xfId="37" applyFont="1" applyBorder="1" applyAlignment="1">
      <alignment/>
    </xf>
    <xf numFmtId="43" fontId="33" fillId="0" borderId="17" xfId="37" applyFont="1" applyBorder="1" applyAlignment="1">
      <alignment horizontal="right"/>
    </xf>
    <xf numFmtId="43" fontId="33" fillId="0" borderId="17" xfId="37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43" fontId="32" fillId="0" borderId="17" xfId="37" applyFont="1" applyBorder="1" applyAlignment="1">
      <alignment horizontal="center"/>
    </xf>
    <xf numFmtId="43" fontId="32" fillId="0" borderId="16" xfId="37" applyFont="1" applyBorder="1" applyAlignment="1">
      <alignment horizontal="center"/>
    </xf>
    <xf numFmtId="43" fontId="30" fillId="0" borderId="17" xfId="0" applyNumberFormat="1" applyFont="1" applyBorder="1" applyAlignment="1">
      <alignment horizontal="center"/>
    </xf>
    <xf numFmtId="43" fontId="30" fillId="0" borderId="17" xfId="0" applyNumberFormat="1" applyFont="1" applyBorder="1" applyAlignment="1">
      <alignment horizontal="right"/>
    </xf>
    <xf numFmtId="43" fontId="30" fillId="0" borderId="16" xfId="0" applyNumberFormat="1" applyFont="1" applyBorder="1" applyAlignment="1">
      <alignment horizontal="center"/>
    </xf>
    <xf numFmtId="43" fontId="33" fillId="0" borderId="17" xfId="37" applyFont="1" applyBorder="1" applyAlignment="1">
      <alignment horizontal="center"/>
    </xf>
    <xf numFmtId="43" fontId="33" fillId="0" borderId="17" xfId="37" applyFont="1" applyBorder="1" applyAlignment="1">
      <alignment horizontal="center" vertical="justify"/>
    </xf>
    <xf numFmtId="43" fontId="33" fillId="0" borderId="16" xfId="37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0" fontId="32" fillId="0" borderId="17" xfId="0" applyFont="1" applyBorder="1" applyAlignment="1">
      <alignment horizontal="right"/>
    </xf>
    <xf numFmtId="0" fontId="81" fillId="0" borderId="17" xfId="0" applyFont="1" applyBorder="1" applyAlignment="1">
      <alignment horizontal="right"/>
    </xf>
    <xf numFmtId="43" fontId="81" fillId="0" borderId="17" xfId="37" applyNumberFormat="1" applyFont="1" applyBorder="1" applyAlignment="1">
      <alignment/>
    </xf>
    <xf numFmtId="43" fontId="81" fillId="0" borderId="17" xfId="37" applyNumberFormat="1" applyFont="1" applyBorder="1" applyAlignment="1">
      <alignment horizontal="center"/>
    </xf>
    <xf numFmtId="43" fontId="31" fillId="0" borderId="17" xfId="37" applyFont="1" applyBorder="1" applyAlignment="1">
      <alignment/>
    </xf>
    <xf numFmtId="43" fontId="32" fillId="0" borderId="17" xfId="37" applyFont="1" applyBorder="1" applyAlignment="1">
      <alignment/>
    </xf>
    <xf numFmtId="43" fontId="33" fillId="0" borderId="17" xfId="37" applyNumberFormat="1" applyFont="1" applyBorder="1" applyAlignment="1">
      <alignment horizontal="right"/>
    </xf>
    <xf numFmtId="0" fontId="31" fillId="35" borderId="17" xfId="0" applyFont="1" applyFill="1" applyBorder="1" applyAlignment="1">
      <alignment horizontal="right"/>
    </xf>
    <xf numFmtId="43" fontId="31" fillId="35" borderId="17" xfId="37" applyFont="1" applyFill="1" applyBorder="1" applyAlignment="1">
      <alignment/>
    </xf>
    <xf numFmtId="43" fontId="30" fillId="0" borderId="10" xfId="37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43" fontId="33" fillId="0" borderId="20" xfId="37" applyFont="1" applyBorder="1" applyAlignment="1">
      <alignment/>
    </xf>
    <xf numFmtId="43" fontId="33" fillId="0" borderId="20" xfId="37" applyFont="1" applyBorder="1" applyAlignment="1">
      <alignment horizontal="right"/>
    </xf>
    <xf numFmtId="208" fontId="33" fillId="0" borderId="20" xfId="37" applyNumberFormat="1" applyFont="1" applyBorder="1" applyAlignment="1">
      <alignment/>
    </xf>
    <xf numFmtId="43" fontId="33" fillId="0" borderId="20" xfId="37" applyNumberFormat="1" applyFont="1" applyBorder="1" applyAlignment="1">
      <alignment horizontal="right"/>
    </xf>
    <xf numFmtId="208" fontId="33" fillId="0" borderId="20" xfId="37" applyNumberFormat="1" applyFont="1" applyBorder="1" applyAlignment="1">
      <alignment horizontal="right"/>
    </xf>
    <xf numFmtId="207" fontId="33" fillId="0" borderId="20" xfId="37" applyNumberFormat="1" applyFont="1" applyBorder="1" applyAlignment="1">
      <alignment/>
    </xf>
    <xf numFmtId="43" fontId="78" fillId="0" borderId="1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left"/>
    </xf>
    <xf numFmtId="43" fontId="21" fillId="0" borderId="0" xfId="37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6"/>
  <sheetViews>
    <sheetView tabSelected="1" zoomScale="150" zoomScaleNormal="150" zoomScalePageLayoutView="0" workbookViewId="0" topLeftCell="A1">
      <selection activeCell="D30" sqref="D30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75" t="s">
        <v>157</v>
      </c>
      <c r="B1" s="275"/>
      <c r="C1" s="275"/>
      <c r="D1" s="275"/>
    </row>
    <row r="2" spans="1:4" s="1" customFormat="1" ht="20.25" customHeight="1">
      <c r="A2" s="275" t="s">
        <v>81</v>
      </c>
      <c r="B2" s="275"/>
      <c r="C2" s="275"/>
      <c r="D2" s="275"/>
    </row>
    <row r="3" spans="1:4" s="1" customFormat="1" ht="21">
      <c r="A3" s="275" t="s">
        <v>295</v>
      </c>
      <c r="B3" s="275"/>
      <c r="C3" s="275"/>
      <c r="D3" s="275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5586706.44</v>
      </c>
      <c r="C5" s="22"/>
      <c r="D5" s="22">
        <v>61570361.16</v>
      </c>
    </row>
    <row r="6" spans="1:4" s="1" customFormat="1" ht="21">
      <c r="A6" s="1" t="s">
        <v>162</v>
      </c>
      <c r="B6" s="22">
        <v>463714.1</v>
      </c>
      <c r="C6" s="22"/>
      <c r="D6" s="22">
        <v>2969410.05</v>
      </c>
    </row>
    <row r="7" spans="1:4" s="1" customFormat="1" ht="21">
      <c r="A7" s="1" t="s">
        <v>329</v>
      </c>
      <c r="B7" s="22">
        <v>0</v>
      </c>
      <c r="C7" s="22"/>
      <c r="D7" s="22">
        <v>9368830</v>
      </c>
    </row>
    <row r="8" spans="1:4" s="1" customFormat="1" ht="21">
      <c r="A8" s="1" t="s">
        <v>86</v>
      </c>
      <c r="B8" s="22">
        <v>122670</v>
      </c>
      <c r="C8" s="22"/>
      <c r="D8" s="22">
        <v>1234679</v>
      </c>
    </row>
    <row r="9" spans="1:4" s="1" customFormat="1" ht="21">
      <c r="A9" s="1" t="s">
        <v>163</v>
      </c>
      <c r="B9" s="22">
        <v>199710</v>
      </c>
      <c r="C9" s="22"/>
      <c r="D9" s="22">
        <v>4682010</v>
      </c>
    </row>
    <row r="10" spans="1:4" s="1" customFormat="1" ht="21">
      <c r="A10" s="1" t="s">
        <v>328</v>
      </c>
      <c r="B10" s="22">
        <v>29363</v>
      </c>
      <c r="C10" s="22"/>
      <c r="D10" s="22">
        <v>29363</v>
      </c>
    </row>
    <row r="11" spans="1:4" s="1" customFormat="1" ht="21">
      <c r="A11" s="1" t="s">
        <v>315</v>
      </c>
      <c r="B11" s="22">
        <v>0</v>
      </c>
      <c r="C11" s="22"/>
      <c r="D11" s="22">
        <v>20000</v>
      </c>
    </row>
    <row r="12" spans="1:4" s="1" customFormat="1" ht="21">
      <c r="A12" s="1" t="s">
        <v>138</v>
      </c>
      <c r="B12" s="22">
        <v>174.44</v>
      </c>
      <c r="C12" s="22"/>
      <c r="D12" s="22">
        <v>5809.92</v>
      </c>
    </row>
    <row r="13" spans="1:4" s="1" customFormat="1" ht="21">
      <c r="A13" s="1" t="s">
        <v>251</v>
      </c>
      <c r="B13" s="22">
        <v>0</v>
      </c>
      <c r="C13" s="22"/>
      <c r="D13" s="22">
        <v>410</v>
      </c>
    </row>
    <row r="14" spans="1:4" s="1" customFormat="1" ht="21">
      <c r="A14" s="1" t="s">
        <v>14</v>
      </c>
      <c r="B14" s="22">
        <v>0</v>
      </c>
      <c r="C14" s="22"/>
      <c r="D14" s="22">
        <v>433600</v>
      </c>
    </row>
    <row r="15" spans="1:4" s="1" customFormat="1" ht="21">
      <c r="A15" s="1" t="s">
        <v>330</v>
      </c>
      <c r="B15" s="22">
        <v>0</v>
      </c>
      <c r="C15" s="22"/>
      <c r="D15" s="22">
        <v>1963000</v>
      </c>
    </row>
    <row r="16" spans="2:4" s="1" customFormat="1" ht="21">
      <c r="B16" s="22"/>
      <c r="C16" s="22"/>
      <c r="D16" s="22"/>
    </row>
    <row r="17" spans="1:4" s="52" customFormat="1" ht="21.75" thickBot="1">
      <c r="A17" s="50" t="s">
        <v>18</v>
      </c>
      <c r="B17" s="92">
        <f>SUM(B5:B16)</f>
        <v>6402337.98</v>
      </c>
      <c r="C17" s="58"/>
      <c r="D17" s="92">
        <f>SUM(D5:D16)</f>
        <v>82277473.13</v>
      </c>
    </row>
    <row r="18" spans="1:4" s="1" customFormat="1" ht="21.75" thickTop="1">
      <c r="A18" s="51" t="s">
        <v>41</v>
      </c>
      <c r="B18" s="22"/>
      <c r="C18" s="22"/>
      <c r="D18" s="22"/>
    </row>
    <row r="19" spans="1:4" s="1" customFormat="1" ht="21">
      <c r="A19" s="1" t="s">
        <v>83</v>
      </c>
      <c r="B19" s="22">
        <v>2256386.54</v>
      </c>
      <c r="C19" s="22"/>
      <c r="D19" s="22">
        <v>33087819.1</v>
      </c>
    </row>
    <row r="20" spans="1:4" s="1" customFormat="1" ht="21">
      <c r="A20" s="1" t="s">
        <v>161</v>
      </c>
      <c r="B20" s="22">
        <v>255448.46</v>
      </c>
      <c r="C20" s="22"/>
      <c r="D20" s="22">
        <v>1798215.65</v>
      </c>
    </row>
    <row r="21" spans="1:4" s="1" customFormat="1" ht="21">
      <c r="A21" s="1" t="s">
        <v>84</v>
      </c>
      <c r="B21" s="22">
        <v>4233.43</v>
      </c>
      <c r="C21" s="22"/>
      <c r="D21" s="22">
        <v>11559517.93</v>
      </c>
    </row>
    <row r="22" spans="1:4" s="1" customFormat="1" ht="21">
      <c r="A22" s="1" t="s">
        <v>159</v>
      </c>
      <c r="B22" s="22">
        <v>916010</v>
      </c>
      <c r="C22" s="22"/>
      <c r="D22" s="22">
        <v>7867310</v>
      </c>
    </row>
    <row r="23" spans="1:4" s="1" customFormat="1" ht="21">
      <c r="A23" s="1" t="s">
        <v>160</v>
      </c>
      <c r="B23" s="22">
        <v>66150</v>
      </c>
      <c r="C23" s="22"/>
      <c r="D23" s="22">
        <v>4745010</v>
      </c>
    </row>
    <row r="24" spans="1:4" s="1" customFormat="1" ht="21">
      <c r="A24" s="1" t="s">
        <v>117</v>
      </c>
      <c r="B24" s="22">
        <v>0</v>
      </c>
      <c r="C24" s="22"/>
      <c r="D24" s="22">
        <v>56560</v>
      </c>
    </row>
    <row r="25" spans="1:4" s="1" customFormat="1" ht="21">
      <c r="A25" s="1" t="s">
        <v>68</v>
      </c>
      <c r="B25" s="22">
        <v>75000</v>
      </c>
      <c r="C25" s="22"/>
      <c r="D25" s="22">
        <v>13772514.42</v>
      </c>
    </row>
    <row r="26" spans="1:4" s="1" customFormat="1" ht="21">
      <c r="A26" s="1" t="s">
        <v>5</v>
      </c>
      <c r="B26" s="22">
        <v>24178</v>
      </c>
      <c r="C26" s="22"/>
      <c r="D26" s="22">
        <v>1244187</v>
      </c>
    </row>
    <row r="27" spans="1:4" s="1" customFormat="1" ht="21">
      <c r="A27" s="1" t="s">
        <v>326</v>
      </c>
      <c r="B27" s="22">
        <v>0</v>
      </c>
      <c r="C27" s="22"/>
      <c r="D27" s="22">
        <v>1963000</v>
      </c>
    </row>
    <row r="28" spans="2:4" s="1" customFormat="1" ht="21">
      <c r="B28" s="22"/>
      <c r="C28" s="22"/>
      <c r="D28" s="22"/>
    </row>
    <row r="29" spans="1:4" s="52" customFormat="1" ht="21.75" thickBot="1">
      <c r="A29" s="50" t="s">
        <v>18</v>
      </c>
      <c r="B29" s="92">
        <f>SUM(B19:B28)</f>
        <v>3597406.43</v>
      </c>
      <c r="C29" s="58"/>
      <c r="D29" s="92">
        <f>SUM(D19:D28)</f>
        <v>76094134.1</v>
      </c>
    </row>
    <row r="30" spans="1:4" s="1" customFormat="1" ht="21.75" thickTop="1">
      <c r="A30" s="52" t="s">
        <v>85</v>
      </c>
      <c r="B30" s="58">
        <f>B17-B29</f>
        <v>2804931.5500000003</v>
      </c>
      <c r="C30" s="58"/>
      <c r="D30" s="58">
        <f>D17-D29</f>
        <v>6183339.030000001</v>
      </c>
    </row>
    <row r="31" spans="1:4" s="1" customFormat="1" ht="21">
      <c r="A31" s="52"/>
      <c r="B31" s="58"/>
      <c r="C31" s="58"/>
      <c r="D31" s="58"/>
    </row>
    <row r="32" spans="1:4" s="1" customFormat="1" ht="21">
      <c r="A32" s="52"/>
      <c r="B32" s="58"/>
      <c r="C32" s="58"/>
      <c r="D32" s="58"/>
    </row>
    <row r="33" spans="1:4" s="1" customFormat="1" ht="21">
      <c r="A33" s="52"/>
      <c r="B33" s="58"/>
      <c r="C33" s="58"/>
      <c r="D33" s="58"/>
    </row>
    <row r="34" spans="1:6" s="1" customFormat="1" ht="21">
      <c r="A34" s="276" t="s">
        <v>332</v>
      </c>
      <c r="B34" s="276"/>
      <c r="C34" s="276"/>
      <c r="D34" s="276"/>
      <c r="E34" s="48"/>
      <c r="F34" s="48"/>
    </row>
    <row r="35" spans="1:6" s="1" customFormat="1" ht="21">
      <c r="A35" s="276" t="s">
        <v>331</v>
      </c>
      <c r="B35" s="276"/>
      <c r="C35" s="276"/>
      <c r="D35" s="276"/>
      <c r="E35" s="48"/>
      <c r="F35" s="48"/>
    </row>
    <row r="36" spans="1:6" s="3" customFormat="1" ht="23.25">
      <c r="A36" s="277" t="s">
        <v>128</v>
      </c>
      <c r="B36" s="277"/>
      <c r="C36" s="277"/>
      <c r="D36" s="277"/>
      <c r="E36" s="48"/>
      <c r="F36" s="48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</sheetData>
  <sheetProtection/>
  <mergeCells count="6">
    <mergeCell ref="A1:D1"/>
    <mergeCell ref="A2:D2"/>
    <mergeCell ref="A3:D3"/>
    <mergeCell ref="A34:D34"/>
    <mergeCell ref="A35:D35"/>
    <mergeCell ref="A36:D36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A16">
      <selection activeCell="D26" sqref="D26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4" customFormat="1" ht="17.25">
      <c r="A1" s="327" t="s">
        <v>190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s="164" customFormat="1" ht="17.25">
      <c r="A2" s="327" t="s">
        <v>191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s="164" customFormat="1" ht="17.25">
      <c r="A3" s="328" t="s">
        <v>263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s="164" customFormat="1" ht="17.25">
      <c r="A4" s="165" t="s">
        <v>30</v>
      </c>
      <c r="B4" s="166" t="s">
        <v>27</v>
      </c>
      <c r="C4" s="167" t="s">
        <v>18</v>
      </c>
      <c r="D4" s="166" t="s">
        <v>192</v>
      </c>
      <c r="E4" s="167" t="s">
        <v>193</v>
      </c>
      <c r="F4" s="166" t="s">
        <v>194</v>
      </c>
      <c r="G4" s="167" t="s">
        <v>195</v>
      </c>
      <c r="H4" s="166" t="s">
        <v>196</v>
      </c>
      <c r="I4" s="167" t="s">
        <v>197</v>
      </c>
      <c r="J4" s="166" t="s">
        <v>198</v>
      </c>
      <c r="K4" s="167" t="s">
        <v>199</v>
      </c>
      <c r="L4" s="166" t="s">
        <v>200</v>
      </c>
      <c r="M4" s="167" t="s">
        <v>201</v>
      </c>
      <c r="N4" s="167" t="s">
        <v>202</v>
      </c>
      <c r="O4" s="167" t="s">
        <v>42</v>
      </c>
    </row>
    <row r="5" spans="1:15" s="164" customFormat="1" ht="17.25">
      <c r="A5" s="168"/>
      <c r="B5" s="169"/>
      <c r="C5" s="170"/>
      <c r="D5" s="169"/>
      <c r="E5" s="170" t="s">
        <v>203</v>
      </c>
      <c r="F5" s="169"/>
      <c r="G5" s="170"/>
      <c r="H5" s="169" t="s">
        <v>204</v>
      </c>
      <c r="I5" s="170" t="s">
        <v>205</v>
      </c>
      <c r="J5" s="169" t="s">
        <v>206</v>
      </c>
      <c r="K5" s="170" t="s">
        <v>207</v>
      </c>
      <c r="L5" s="169" t="s">
        <v>208</v>
      </c>
      <c r="M5" s="170"/>
      <c r="N5" s="170" t="s">
        <v>209</v>
      </c>
      <c r="O5" s="170"/>
    </row>
    <row r="6" spans="1:15" s="164" customFormat="1" ht="17.25">
      <c r="A6" s="168"/>
      <c r="B6" s="169"/>
      <c r="C6" s="170"/>
      <c r="D6" s="169"/>
      <c r="E6" s="170"/>
      <c r="F6" s="169"/>
      <c r="G6" s="170"/>
      <c r="H6" s="169"/>
      <c r="I6" s="171"/>
      <c r="J6" s="170" t="s">
        <v>210</v>
      </c>
      <c r="K6" s="169" t="s">
        <v>211</v>
      </c>
      <c r="L6" s="170" t="s">
        <v>212</v>
      </c>
      <c r="M6" s="172"/>
      <c r="N6" s="170"/>
      <c r="O6" s="170"/>
    </row>
    <row r="7" spans="1:15" s="164" customFormat="1" ht="17.25">
      <c r="A7" s="168"/>
      <c r="B7" s="169"/>
      <c r="C7" s="170"/>
      <c r="D7" s="169" t="s">
        <v>213</v>
      </c>
      <c r="E7" s="170" t="s">
        <v>214</v>
      </c>
      <c r="F7" s="169" t="s">
        <v>215</v>
      </c>
      <c r="G7" s="170" t="s">
        <v>216</v>
      </c>
      <c r="H7" s="169" t="s">
        <v>217</v>
      </c>
      <c r="I7" s="170" t="s">
        <v>218</v>
      </c>
      <c r="J7" s="169" t="s">
        <v>219</v>
      </c>
      <c r="K7" s="170" t="s">
        <v>220</v>
      </c>
      <c r="L7" s="169" t="s">
        <v>221</v>
      </c>
      <c r="M7" s="170" t="s">
        <v>222</v>
      </c>
      <c r="N7" s="170" t="s">
        <v>223</v>
      </c>
      <c r="O7" s="170" t="s">
        <v>224</v>
      </c>
    </row>
    <row r="8" spans="1:15" s="164" customFormat="1" ht="17.25">
      <c r="A8" s="196" t="s">
        <v>41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</row>
    <row r="9" spans="1:16" s="164" customFormat="1" ht="17.25">
      <c r="A9" s="198" t="s">
        <v>42</v>
      </c>
      <c r="B9" s="197">
        <v>1929200</v>
      </c>
      <c r="C9" s="197">
        <v>833664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>
        <v>833664</v>
      </c>
      <c r="P9" s="183">
        <f>SUM(O9)</f>
        <v>833664</v>
      </c>
    </row>
    <row r="10" spans="1:16" s="205" customFormat="1" ht="17.25">
      <c r="A10" s="208" t="s">
        <v>240</v>
      </c>
      <c r="B10" s="209">
        <v>0</v>
      </c>
      <c r="C10" s="209">
        <v>5884800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7">
        <v>5884800</v>
      </c>
      <c r="P10" s="274"/>
    </row>
    <row r="11" spans="1:16" s="220" customFormat="1" ht="17.25">
      <c r="A11" s="198" t="s">
        <v>142</v>
      </c>
      <c r="B11" s="197">
        <v>10867201</v>
      </c>
      <c r="C11" s="201">
        <v>7189959</v>
      </c>
      <c r="D11" s="197">
        <v>5183476</v>
      </c>
      <c r="E11" s="219">
        <v>0</v>
      </c>
      <c r="F11" s="219">
        <v>506776</v>
      </c>
      <c r="G11" s="219">
        <v>567138</v>
      </c>
      <c r="H11" s="219">
        <v>151712</v>
      </c>
      <c r="I11" s="219">
        <v>0</v>
      </c>
      <c r="J11" s="219">
        <v>0</v>
      </c>
      <c r="K11" s="219">
        <v>0</v>
      </c>
      <c r="L11" s="219">
        <v>635447</v>
      </c>
      <c r="M11" s="219">
        <v>145410</v>
      </c>
      <c r="N11" s="219">
        <v>0</v>
      </c>
      <c r="O11" s="202"/>
      <c r="P11" s="274"/>
    </row>
    <row r="12" spans="1:16" s="164" customFormat="1" ht="17.25">
      <c r="A12" s="198" t="s">
        <v>257</v>
      </c>
      <c r="B12" s="197">
        <v>5434170</v>
      </c>
      <c r="C12" s="201">
        <v>3288154</v>
      </c>
      <c r="D12" s="197">
        <v>881720</v>
      </c>
      <c r="E12" s="219">
        <v>0</v>
      </c>
      <c r="F12" s="219">
        <v>527100</v>
      </c>
      <c r="G12" s="219">
        <v>0</v>
      </c>
      <c r="H12" s="219">
        <v>98418</v>
      </c>
      <c r="I12" s="219">
        <v>1445694</v>
      </c>
      <c r="J12" s="219">
        <v>0</v>
      </c>
      <c r="K12" s="219">
        <v>0</v>
      </c>
      <c r="L12" s="219">
        <v>146400</v>
      </c>
      <c r="M12" s="219">
        <v>188822</v>
      </c>
      <c r="N12" s="219">
        <v>0</v>
      </c>
      <c r="O12" s="202"/>
      <c r="P12" s="274"/>
    </row>
    <row r="13" spans="1:16" s="205" customFormat="1" ht="17.25">
      <c r="A13" s="208" t="s">
        <v>254</v>
      </c>
      <c r="B13" s="209">
        <v>0</v>
      </c>
      <c r="C13" s="215">
        <v>324000</v>
      </c>
      <c r="D13" s="209">
        <v>0</v>
      </c>
      <c r="E13" s="209">
        <v>0</v>
      </c>
      <c r="F13" s="209">
        <v>324000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11"/>
      <c r="P13" s="204"/>
    </row>
    <row r="14" spans="1:16" s="164" customFormat="1" ht="17.25">
      <c r="A14" s="198" t="s">
        <v>7</v>
      </c>
      <c r="B14" s="203">
        <v>3712811.5</v>
      </c>
      <c r="C14" s="203">
        <v>739326.25</v>
      </c>
      <c r="D14" s="197">
        <v>224733</v>
      </c>
      <c r="E14" s="197">
        <v>114600</v>
      </c>
      <c r="F14" s="197">
        <v>51287.75</v>
      </c>
      <c r="G14" s="197">
        <v>221822</v>
      </c>
      <c r="H14" s="197">
        <v>21302</v>
      </c>
      <c r="I14" s="197">
        <v>0</v>
      </c>
      <c r="J14" s="197">
        <v>0</v>
      </c>
      <c r="K14" s="197">
        <v>0</v>
      </c>
      <c r="L14" s="197">
        <v>83116.5</v>
      </c>
      <c r="M14" s="197">
        <v>22465</v>
      </c>
      <c r="N14" s="197">
        <v>0</v>
      </c>
      <c r="O14" s="202"/>
      <c r="P14" s="183">
        <f aca="true" t="shared" si="0" ref="P14:P24">SUM(D14:O14)</f>
        <v>739326.25</v>
      </c>
    </row>
    <row r="15" spans="1:16" s="164" customFormat="1" ht="17.25">
      <c r="A15" s="198" t="s">
        <v>8</v>
      </c>
      <c r="B15" s="203">
        <v>7805287.5</v>
      </c>
      <c r="C15" s="203">
        <v>4644405.31</v>
      </c>
      <c r="D15" s="197">
        <v>1966275.15</v>
      </c>
      <c r="E15" s="197">
        <v>764542</v>
      </c>
      <c r="F15" s="197">
        <v>757960</v>
      </c>
      <c r="G15" s="197">
        <v>306145.77</v>
      </c>
      <c r="H15" s="197">
        <v>71198</v>
      </c>
      <c r="I15" s="197">
        <v>0</v>
      </c>
      <c r="J15" s="197">
        <v>166652</v>
      </c>
      <c r="K15" s="197">
        <v>232661</v>
      </c>
      <c r="L15" s="197">
        <v>43105.39</v>
      </c>
      <c r="M15" s="197">
        <v>335866</v>
      </c>
      <c r="N15" s="197">
        <v>0</v>
      </c>
      <c r="O15" s="202"/>
      <c r="P15" s="183">
        <f>SUM(D15:O15)</f>
        <v>4644405.31</v>
      </c>
    </row>
    <row r="16" spans="1:16" s="205" customFormat="1" ht="17.25">
      <c r="A16" s="208" t="s">
        <v>241</v>
      </c>
      <c r="B16" s="210">
        <v>0</v>
      </c>
      <c r="C16" s="210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11"/>
      <c r="P16" s="204"/>
    </row>
    <row r="17" spans="1:16" s="164" customFormat="1" ht="17.25">
      <c r="A17" s="198" t="s">
        <v>9</v>
      </c>
      <c r="B17" s="203">
        <v>4981840</v>
      </c>
      <c r="C17" s="203">
        <v>2353733.29</v>
      </c>
      <c r="D17" s="197">
        <v>326480</v>
      </c>
      <c r="E17" s="197">
        <v>0</v>
      </c>
      <c r="F17" s="197">
        <v>1035030.29</v>
      </c>
      <c r="G17" s="197">
        <v>10516</v>
      </c>
      <c r="H17" s="197">
        <v>32477</v>
      </c>
      <c r="I17" s="197">
        <v>718503</v>
      </c>
      <c r="J17" s="197">
        <v>0</v>
      </c>
      <c r="K17" s="197">
        <v>0</v>
      </c>
      <c r="L17" s="197">
        <v>204899</v>
      </c>
      <c r="M17" s="197">
        <v>25828</v>
      </c>
      <c r="N17" s="197">
        <v>0</v>
      </c>
      <c r="O17" s="202"/>
      <c r="P17" s="186">
        <f t="shared" si="0"/>
        <v>2353733.29</v>
      </c>
    </row>
    <row r="18" spans="1:16" s="205" customFormat="1" ht="17.25">
      <c r="A18" s="208" t="s">
        <v>242</v>
      </c>
      <c r="B18" s="210">
        <v>0</v>
      </c>
      <c r="C18" s="210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11"/>
      <c r="P18" s="206"/>
    </row>
    <row r="19" spans="1:16" s="164" customFormat="1" ht="17.25">
      <c r="A19" s="198" t="s">
        <v>10</v>
      </c>
      <c r="B19" s="203">
        <v>540000</v>
      </c>
      <c r="C19" s="203">
        <v>333795.36</v>
      </c>
      <c r="D19" s="197">
        <v>328989.34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4806.02</v>
      </c>
      <c r="N19" s="197">
        <v>0</v>
      </c>
      <c r="O19" s="202"/>
      <c r="P19" s="183">
        <f t="shared" si="0"/>
        <v>333795.36000000004</v>
      </c>
    </row>
    <row r="20" spans="1:16" s="164" customFormat="1" ht="17.25">
      <c r="A20" s="198" t="s">
        <v>225</v>
      </c>
      <c r="B20" s="203">
        <v>2337300</v>
      </c>
      <c r="C20" s="203">
        <v>1422344.3</v>
      </c>
      <c r="D20" s="197">
        <v>67104.99</v>
      </c>
      <c r="E20" s="197">
        <v>0</v>
      </c>
      <c r="F20" s="197">
        <v>0</v>
      </c>
      <c r="G20" s="197">
        <v>87425</v>
      </c>
      <c r="H20" s="197">
        <v>1242814.31</v>
      </c>
      <c r="I20" s="197">
        <v>0</v>
      </c>
      <c r="J20" s="197">
        <v>0</v>
      </c>
      <c r="K20" s="197">
        <v>0</v>
      </c>
      <c r="L20" s="197">
        <v>25000</v>
      </c>
      <c r="M20" s="197">
        <v>0</v>
      </c>
      <c r="N20" s="197">
        <v>0</v>
      </c>
      <c r="O20" s="202"/>
      <c r="P20" s="186">
        <f t="shared" si="0"/>
        <v>1422344.3</v>
      </c>
    </row>
    <row r="21" spans="1:16" s="205" customFormat="1" ht="17.25">
      <c r="A21" s="208" t="s">
        <v>253</v>
      </c>
      <c r="B21" s="210">
        <v>0</v>
      </c>
      <c r="C21" s="210">
        <v>1823000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1823000</v>
      </c>
      <c r="M21" s="209">
        <v>0</v>
      </c>
      <c r="N21" s="209">
        <v>0</v>
      </c>
      <c r="O21" s="211"/>
      <c r="P21" s="206"/>
    </row>
    <row r="22" spans="1:16" s="164" customFormat="1" ht="17.25">
      <c r="A22" s="198" t="s">
        <v>226</v>
      </c>
      <c r="B22" s="203">
        <v>10273800</v>
      </c>
      <c r="C22" s="203">
        <v>1959000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1959000</v>
      </c>
      <c r="M22" s="197">
        <v>0</v>
      </c>
      <c r="N22" s="197">
        <v>0</v>
      </c>
      <c r="O22" s="202"/>
      <c r="P22" s="186">
        <v>0</v>
      </c>
    </row>
    <row r="23" spans="1:16" s="164" customFormat="1" ht="17.25">
      <c r="A23" s="198" t="s">
        <v>11</v>
      </c>
      <c r="B23" s="203">
        <v>6179600</v>
      </c>
      <c r="C23" s="203">
        <v>1912843.2</v>
      </c>
      <c r="D23" s="197">
        <v>0</v>
      </c>
      <c r="E23" s="197">
        <v>0</v>
      </c>
      <c r="F23" s="197">
        <v>1840000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72843.2</v>
      </c>
      <c r="O23" s="202"/>
      <c r="P23" s="186">
        <f t="shared" si="0"/>
        <v>1912843.2</v>
      </c>
    </row>
    <row r="24" spans="1:16" s="164" customFormat="1" ht="17.25">
      <c r="A24" s="173" t="s">
        <v>18</v>
      </c>
      <c r="B24" s="194">
        <f aca="true" t="shared" si="1" ref="B24:O24">SUM(B9:B23)</f>
        <v>54061210</v>
      </c>
      <c r="C24" s="195">
        <f t="shared" si="1"/>
        <v>32709024.709999997</v>
      </c>
      <c r="D24" s="176">
        <f t="shared" si="1"/>
        <v>8978778.48</v>
      </c>
      <c r="E24" s="176">
        <f t="shared" si="1"/>
        <v>879142</v>
      </c>
      <c r="F24" s="176">
        <f t="shared" si="1"/>
        <v>5042154.04</v>
      </c>
      <c r="G24" s="176">
        <f t="shared" si="1"/>
        <v>1193046.77</v>
      </c>
      <c r="H24" s="176">
        <f t="shared" si="1"/>
        <v>1617921.31</v>
      </c>
      <c r="I24" s="176">
        <f t="shared" si="1"/>
        <v>2164197</v>
      </c>
      <c r="J24" s="176">
        <f t="shared" si="1"/>
        <v>166652</v>
      </c>
      <c r="K24" s="176">
        <f t="shared" si="1"/>
        <v>232661</v>
      </c>
      <c r="L24" s="176">
        <f t="shared" si="1"/>
        <v>4919967.890000001</v>
      </c>
      <c r="M24" s="176">
        <f t="shared" si="1"/>
        <v>723197.02</v>
      </c>
      <c r="N24" s="176">
        <f t="shared" si="1"/>
        <v>72843.2</v>
      </c>
      <c r="O24" s="177">
        <f t="shared" si="1"/>
        <v>6718464</v>
      </c>
      <c r="P24" s="183">
        <f t="shared" si="0"/>
        <v>32709024.709999997</v>
      </c>
    </row>
    <row r="25" spans="1:15" s="164" customFormat="1" ht="17.25">
      <c r="A25" s="196" t="s">
        <v>32</v>
      </c>
      <c r="B25" s="197"/>
      <c r="C25" s="197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8"/>
    </row>
    <row r="26" spans="1:15" s="164" customFormat="1" ht="17.25">
      <c r="A26" s="198" t="s">
        <v>33</v>
      </c>
      <c r="B26" s="197">
        <v>3280000</v>
      </c>
      <c r="C26" s="203">
        <v>2798358.7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8"/>
    </row>
    <row r="27" spans="1:15" s="164" customFormat="1" ht="17.25">
      <c r="A27" s="198" t="s">
        <v>150</v>
      </c>
      <c r="B27" s="197">
        <v>662000</v>
      </c>
      <c r="C27" s="203">
        <v>677744.6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8"/>
    </row>
    <row r="28" spans="1:15" s="164" customFormat="1" ht="17.25">
      <c r="A28" s="198" t="s">
        <v>35</v>
      </c>
      <c r="B28" s="197">
        <v>550000</v>
      </c>
      <c r="C28" s="203">
        <v>476836.8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8" t="s">
        <v>128</v>
      </c>
    </row>
    <row r="29" spans="1:15" s="164" customFormat="1" ht="17.25">
      <c r="A29" s="198" t="s">
        <v>37</v>
      </c>
      <c r="B29" s="203">
        <v>70000</v>
      </c>
      <c r="C29" s="203">
        <v>83830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8"/>
    </row>
    <row r="30" spans="1:15" s="164" customFormat="1" ht="17.25">
      <c r="A30" s="198" t="s">
        <v>227</v>
      </c>
      <c r="B30" s="197">
        <v>38629210</v>
      </c>
      <c r="C30" s="203">
        <v>29618465.79</v>
      </c>
      <c r="D30" s="179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8"/>
    </row>
    <row r="31" spans="1:15" s="164" customFormat="1" ht="17.25">
      <c r="A31" s="198" t="s">
        <v>228</v>
      </c>
      <c r="B31" s="197">
        <v>10870000</v>
      </c>
      <c r="C31" s="203">
        <v>10354556</v>
      </c>
      <c r="D31" s="174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s="164" customFormat="1" ht="17.25">
      <c r="A32" s="208" t="s">
        <v>229</v>
      </c>
      <c r="B32" s="209">
        <v>0</v>
      </c>
      <c r="C32" s="210">
        <v>10998980</v>
      </c>
      <c r="D32" s="1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</row>
    <row r="33" spans="1:15" s="164" customFormat="1" ht="18" thickBot="1">
      <c r="A33" s="175" t="s">
        <v>18</v>
      </c>
      <c r="B33" s="180">
        <f>SUM(B26:B32)</f>
        <v>54061210</v>
      </c>
      <c r="C33" s="180">
        <f>SUM(C26:C32)</f>
        <v>55008771.89</v>
      </c>
      <c r="D33" s="18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</row>
    <row r="34" spans="1:15" s="164" customFormat="1" ht="18.75" thickBot="1" thickTop="1">
      <c r="A34" s="331" t="s">
        <v>230</v>
      </c>
      <c r="B34" s="332"/>
      <c r="C34" s="182">
        <f>C33-C24</f>
        <v>22299747.180000003</v>
      </c>
      <c r="D34" s="174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</row>
    <row r="35" s="164" customFormat="1" ht="18" thickTop="1"/>
    <row r="36" spans="1:15" s="164" customFormat="1" ht="17.25">
      <c r="A36" s="327" t="s">
        <v>190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</row>
    <row r="37" spans="1:15" s="164" customFormat="1" ht="17.25">
      <c r="A37" s="327" t="s">
        <v>191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</row>
    <row r="38" spans="1:15" s="164" customFormat="1" ht="17.25">
      <c r="A38" s="328" t="s">
        <v>263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15" s="164" customFormat="1" ht="17.25">
      <c r="A39" s="165" t="s">
        <v>30</v>
      </c>
      <c r="B39" s="166" t="s">
        <v>27</v>
      </c>
      <c r="C39" s="167" t="s">
        <v>18</v>
      </c>
      <c r="D39" s="166" t="s">
        <v>192</v>
      </c>
      <c r="E39" s="167" t="s">
        <v>193</v>
      </c>
      <c r="F39" s="166" t="s">
        <v>194</v>
      </c>
      <c r="G39" s="167" t="s">
        <v>195</v>
      </c>
      <c r="H39" s="166" t="s">
        <v>196</v>
      </c>
      <c r="I39" s="167" t="s">
        <v>197</v>
      </c>
      <c r="J39" s="166" t="s">
        <v>198</v>
      </c>
      <c r="K39" s="167" t="s">
        <v>199</v>
      </c>
      <c r="L39" s="166" t="s">
        <v>200</v>
      </c>
      <c r="M39" s="167" t="s">
        <v>201</v>
      </c>
      <c r="N39" s="167" t="s">
        <v>202</v>
      </c>
      <c r="O39" s="167" t="s">
        <v>42</v>
      </c>
    </row>
    <row r="40" spans="1:15" s="164" customFormat="1" ht="17.25">
      <c r="A40" s="168"/>
      <c r="B40" s="169"/>
      <c r="C40" s="170"/>
      <c r="D40" s="169"/>
      <c r="E40" s="170" t="s">
        <v>203</v>
      </c>
      <c r="F40" s="169"/>
      <c r="G40" s="170"/>
      <c r="H40" s="169" t="s">
        <v>204</v>
      </c>
      <c r="I40" s="170" t="s">
        <v>205</v>
      </c>
      <c r="J40" s="169" t="s">
        <v>206</v>
      </c>
      <c r="K40" s="170" t="s">
        <v>207</v>
      </c>
      <c r="L40" s="169" t="s">
        <v>208</v>
      </c>
      <c r="M40" s="170"/>
      <c r="N40" s="170" t="s">
        <v>209</v>
      </c>
      <c r="O40" s="170"/>
    </row>
    <row r="41" spans="1:15" s="164" customFormat="1" ht="17.25">
      <c r="A41" s="168"/>
      <c r="B41" s="169"/>
      <c r="C41" s="170"/>
      <c r="D41" s="169"/>
      <c r="E41" s="170"/>
      <c r="F41" s="169"/>
      <c r="G41" s="170"/>
      <c r="H41" s="169"/>
      <c r="I41" s="171"/>
      <c r="J41" s="170" t="s">
        <v>210</v>
      </c>
      <c r="K41" s="169" t="s">
        <v>211</v>
      </c>
      <c r="L41" s="170" t="s">
        <v>212</v>
      </c>
      <c r="M41" s="172"/>
      <c r="N41" s="170"/>
      <c r="O41" s="170"/>
    </row>
    <row r="42" spans="1:15" s="164" customFormat="1" ht="17.25">
      <c r="A42" s="168"/>
      <c r="B42" s="169"/>
      <c r="C42" s="170"/>
      <c r="D42" s="169" t="s">
        <v>213</v>
      </c>
      <c r="E42" s="170" t="s">
        <v>214</v>
      </c>
      <c r="F42" s="169" t="s">
        <v>215</v>
      </c>
      <c r="G42" s="170" t="s">
        <v>216</v>
      </c>
      <c r="H42" s="169" t="s">
        <v>217</v>
      </c>
      <c r="I42" s="170" t="s">
        <v>218</v>
      </c>
      <c r="J42" s="169" t="s">
        <v>219</v>
      </c>
      <c r="K42" s="170" t="s">
        <v>220</v>
      </c>
      <c r="L42" s="169" t="s">
        <v>221</v>
      </c>
      <c r="M42" s="170" t="s">
        <v>222</v>
      </c>
      <c r="N42" s="170" t="s">
        <v>223</v>
      </c>
      <c r="O42" s="170" t="s">
        <v>224</v>
      </c>
    </row>
    <row r="43" spans="1:15" s="164" customFormat="1" ht="17.25">
      <c r="A43" s="196" t="s">
        <v>41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1:16" s="164" customFormat="1" ht="17.25">
      <c r="A44" s="198" t="s">
        <v>42</v>
      </c>
      <c r="B44" s="197">
        <v>1929200</v>
      </c>
      <c r="C44" s="197">
        <v>833664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>
        <v>833664</v>
      </c>
      <c r="P44" s="183">
        <f>SUM(O44)</f>
        <v>833664</v>
      </c>
    </row>
    <row r="45" spans="1:16" s="213" customFormat="1" ht="17.25">
      <c r="A45" s="208" t="s">
        <v>240</v>
      </c>
      <c r="B45" s="209"/>
      <c r="C45" s="209">
        <v>5884800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7">
        <v>5884800</v>
      </c>
      <c r="P45" s="214">
        <f>SUM(O45)</f>
        <v>5884800</v>
      </c>
    </row>
    <row r="46" spans="1:16" s="164" customFormat="1" ht="17.25">
      <c r="A46" s="198" t="s">
        <v>110</v>
      </c>
      <c r="B46" s="197">
        <v>3779640</v>
      </c>
      <c r="C46" s="201">
        <v>2519760</v>
      </c>
      <c r="D46" s="197">
        <v>2519760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2"/>
      <c r="P46" s="183">
        <f>SUM(D46:O46)</f>
        <v>2519760</v>
      </c>
    </row>
    <row r="47" spans="1:16" s="164" customFormat="1" ht="17.25">
      <c r="A47" s="198" t="s">
        <v>111</v>
      </c>
      <c r="B47" s="197">
        <v>12521731</v>
      </c>
      <c r="C47" s="201">
        <v>7958353</v>
      </c>
      <c r="D47" s="197">
        <v>3545436</v>
      </c>
      <c r="E47" s="197">
        <v>0</v>
      </c>
      <c r="F47" s="197">
        <v>1033876</v>
      </c>
      <c r="G47" s="197">
        <v>567138</v>
      </c>
      <c r="H47" s="197">
        <v>250130</v>
      </c>
      <c r="I47" s="197">
        <v>1445694</v>
      </c>
      <c r="J47" s="197">
        <v>0</v>
      </c>
      <c r="K47" s="197">
        <v>0</v>
      </c>
      <c r="L47" s="197">
        <v>781847</v>
      </c>
      <c r="M47" s="197">
        <v>334232</v>
      </c>
      <c r="N47" s="197"/>
      <c r="O47" s="202"/>
      <c r="P47" s="183">
        <f>SUM(D47:O47)</f>
        <v>7958353</v>
      </c>
    </row>
    <row r="48" spans="1:16" s="213" customFormat="1" ht="17.25">
      <c r="A48" s="208" t="s">
        <v>254</v>
      </c>
      <c r="B48" s="209">
        <v>0</v>
      </c>
      <c r="C48" s="215">
        <v>324000</v>
      </c>
      <c r="D48" s="209">
        <v>0</v>
      </c>
      <c r="E48" s="209">
        <v>0</v>
      </c>
      <c r="F48" s="209">
        <v>324000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0</v>
      </c>
      <c r="M48" s="209">
        <v>0</v>
      </c>
      <c r="N48" s="209"/>
      <c r="O48" s="211"/>
      <c r="P48" s="214"/>
    </row>
    <row r="49" spans="1:16" s="164" customFormat="1" ht="17.25">
      <c r="A49" s="198" t="s">
        <v>7</v>
      </c>
      <c r="B49" s="203">
        <v>3712811.5</v>
      </c>
      <c r="C49" s="203">
        <v>739326.25</v>
      </c>
      <c r="D49" s="197">
        <v>224733</v>
      </c>
      <c r="E49" s="197">
        <v>114600</v>
      </c>
      <c r="F49" s="197">
        <v>51287.75</v>
      </c>
      <c r="G49" s="197">
        <v>221822</v>
      </c>
      <c r="H49" s="197">
        <v>21302</v>
      </c>
      <c r="I49" s="197">
        <v>0</v>
      </c>
      <c r="J49" s="197">
        <v>0</v>
      </c>
      <c r="K49" s="197">
        <v>0</v>
      </c>
      <c r="L49" s="197">
        <v>83116.5</v>
      </c>
      <c r="M49" s="197">
        <v>22465</v>
      </c>
      <c r="N49" s="197"/>
      <c r="O49" s="202"/>
      <c r="P49" s="183">
        <f aca="true" t="shared" si="2" ref="P49:P56">SUM(D49:O49)</f>
        <v>739326.25</v>
      </c>
    </row>
    <row r="50" spans="1:16" s="164" customFormat="1" ht="17.25">
      <c r="A50" s="198" t="s">
        <v>8</v>
      </c>
      <c r="B50" s="203">
        <v>7805287.5</v>
      </c>
      <c r="C50" s="203">
        <v>4644405.31</v>
      </c>
      <c r="D50" s="197">
        <v>1966275.15</v>
      </c>
      <c r="E50" s="197">
        <v>764542</v>
      </c>
      <c r="F50" s="197">
        <v>757960</v>
      </c>
      <c r="G50" s="197">
        <v>306145.77</v>
      </c>
      <c r="H50" s="197">
        <v>71198</v>
      </c>
      <c r="I50" s="197">
        <v>0</v>
      </c>
      <c r="J50" s="197">
        <v>166652</v>
      </c>
      <c r="K50" s="197">
        <v>232661</v>
      </c>
      <c r="L50" s="197">
        <v>43105.39</v>
      </c>
      <c r="M50" s="197">
        <v>335866</v>
      </c>
      <c r="N50" s="197"/>
      <c r="O50" s="202"/>
      <c r="P50" s="183">
        <f t="shared" si="2"/>
        <v>4644405.31</v>
      </c>
    </row>
    <row r="51" spans="1:16" s="213" customFormat="1" ht="17.25">
      <c r="A51" s="208" t="s">
        <v>241</v>
      </c>
      <c r="B51" s="210">
        <v>0</v>
      </c>
      <c r="C51" s="210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09">
        <v>0</v>
      </c>
      <c r="N51" s="209"/>
      <c r="O51" s="211"/>
      <c r="P51" s="214">
        <f t="shared" si="2"/>
        <v>0</v>
      </c>
    </row>
    <row r="52" spans="1:16" s="164" customFormat="1" ht="17.25">
      <c r="A52" s="198" t="s">
        <v>9</v>
      </c>
      <c r="B52" s="203">
        <v>4981840</v>
      </c>
      <c r="C52" s="203">
        <v>2353733.29</v>
      </c>
      <c r="D52" s="197">
        <v>326480</v>
      </c>
      <c r="E52" s="197"/>
      <c r="F52" s="197">
        <v>1035030.29</v>
      </c>
      <c r="G52" s="197">
        <v>10516</v>
      </c>
      <c r="H52" s="197">
        <v>32477</v>
      </c>
      <c r="I52" s="197">
        <v>718503</v>
      </c>
      <c r="J52" s="197">
        <v>0</v>
      </c>
      <c r="K52" s="197">
        <v>0</v>
      </c>
      <c r="L52" s="197">
        <v>204899</v>
      </c>
      <c r="M52" s="197">
        <v>25828</v>
      </c>
      <c r="N52" s="197"/>
      <c r="O52" s="202"/>
      <c r="P52" s="186">
        <f t="shared" si="2"/>
        <v>2353733.29</v>
      </c>
    </row>
    <row r="53" spans="1:16" s="213" customFormat="1" ht="17.25">
      <c r="A53" s="208" t="s">
        <v>242</v>
      </c>
      <c r="B53" s="210">
        <v>0</v>
      </c>
      <c r="C53" s="210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/>
      <c r="O53" s="211"/>
      <c r="P53" s="212">
        <f t="shared" si="2"/>
        <v>0</v>
      </c>
    </row>
    <row r="54" spans="1:16" s="164" customFormat="1" ht="17.25">
      <c r="A54" s="198" t="s">
        <v>10</v>
      </c>
      <c r="B54" s="203">
        <v>540000</v>
      </c>
      <c r="C54" s="203">
        <v>333795.36</v>
      </c>
      <c r="D54" s="197">
        <v>328989.34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4806.02</v>
      </c>
      <c r="N54" s="197"/>
      <c r="O54" s="202"/>
      <c r="P54" s="183">
        <f t="shared" si="2"/>
        <v>333795.36000000004</v>
      </c>
    </row>
    <row r="55" spans="1:16" s="164" customFormat="1" ht="17.25">
      <c r="A55" s="198" t="s">
        <v>225</v>
      </c>
      <c r="B55" s="203">
        <v>2337300</v>
      </c>
      <c r="C55" s="203">
        <v>1422344.3</v>
      </c>
      <c r="D55" s="197">
        <v>67104.99</v>
      </c>
      <c r="E55" s="197">
        <v>0</v>
      </c>
      <c r="F55" s="197">
        <v>0</v>
      </c>
      <c r="G55" s="197">
        <v>87425</v>
      </c>
      <c r="H55" s="197">
        <v>1242814.31</v>
      </c>
      <c r="I55" s="197">
        <v>0</v>
      </c>
      <c r="J55" s="197">
        <v>0</v>
      </c>
      <c r="K55" s="197">
        <v>0</v>
      </c>
      <c r="L55" s="197">
        <v>25000</v>
      </c>
      <c r="M55" s="197">
        <v>0</v>
      </c>
      <c r="N55" s="197"/>
      <c r="O55" s="202"/>
      <c r="P55" s="186">
        <f t="shared" si="2"/>
        <v>1422344.3</v>
      </c>
    </row>
    <row r="56" spans="1:16" s="213" customFormat="1" ht="17.25">
      <c r="A56" s="208" t="s">
        <v>253</v>
      </c>
      <c r="B56" s="210">
        <v>0</v>
      </c>
      <c r="C56" s="210">
        <v>1823000</v>
      </c>
      <c r="D56" s="209">
        <v>0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>
        <v>1823000</v>
      </c>
      <c r="M56" s="209">
        <v>0</v>
      </c>
      <c r="N56" s="209"/>
      <c r="O56" s="211"/>
      <c r="P56" s="212">
        <f t="shared" si="2"/>
        <v>1823000</v>
      </c>
    </row>
    <row r="57" spans="1:16" s="164" customFormat="1" ht="17.25">
      <c r="A57" s="198" t="s">
        <v>226</v>
      </c>
      <c r="B57" s="203">
        <v>10273800</v>
      </c>
      <c r="C57" s="203">
        <v>1959000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7">
        <v>0</v>
      </c>
      <c r="L57" s="197">
        <v>1959000</v>
      </c>
      <c r="M57" s="197">
        <v>0</v>
      </c>
      <c r="N57" s="197"/>
      <c r="O57" s="202"/>
      <c r="P57" s="186">
        <v>0</v>
      </c>
    </row>
    <row r="58" spans="1:16" s="164" customFormat="1" ht="17.25">
      <c r="A58" s="198" t="s">
        <v>11</v>
      </c>
      <c r="B58" s="203">
        <v>6179600</v>
      </c>
      <c r="C58" s="203">
        <v>1912843.2</v>
      </c>
      <c r="D58" s="197">
        <v>0</v>
      </c>
      <c r="E58" s="197">
        <v>0</v>
      </c>
      <c r="F58" s="197">
        <v>1840000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72843.2</v>
      </c>
      <c r="O58" s="202"/>
      <c r="P58" s="186">
        <f>SUM(D58:O58)</f>
        <v>1912843.2</v>
      </c>
    </row>
    <row r="59" spans="1:16" s="164" customFormat="1" ht="17.25">
      <c r="A59" s="173" t="s">
        <v>18</v>
      </c>
      <c r="B59" s="194">
        <f aca="true" t="shared" si="3" ref="B59:O59">SUM(B44:B58)</f>
        <v>54061210</v>
      </c>
      <c r="C59" s="195">
        <f t="shared" si="3"/>
        <v>32709024.709999997</v>
      </c>
      <c r="D59" s="176">
        <f t="shared" si="3"/>
        <v>8978778.48</v>
      </c>
      <c r="E59" s="176">
        <f t="shared" si="3"/>
        <v>879142</v>
      </c>
      <c r="F59" s="176">
        <f t="shared" si="3"/>
        <v>5042154.04</v>
      </c>
      <c r="G59" s="176">
        <f t="shared" si="3"/>
        <v>1193046.77</v>
      </c>
      <c r="H59" s="176">
        <f t="shared" si="3"/>
        <v>1617921.31</v>
      </c>
      <c r="I59" s="176">
        <f t="shared" si="3"/>
        <v>2164197</v>
      </c>
      <c r="J59" s="176">
        <f t="shared" si="3"/>
        <v>166652</v>
      </c>
      <c r="K59" s="176">
        <f t="shared" si="3"/>
        <v>232661</v>
      </c>
      <c r="L59" s="176">
        <f t="shared" si="3"/>
        <v>4919967.890000001</v>
      </c>
      <c r="M59" s="176">
        <f t="shared" si="3"/>
        <v>723197.02</v>
      </c>
      <c r="N59" s="176">
        <f t="shared" si="3"/>
        <v>72843.2</v>
      </c>
      <c r="O59" s="177">
        <f t="shared" si="3"/>
        <v>6718464</v>
      </c>
      <c r="P59" s="183">
        <f>SUM(D59:O59)</f>
        <v>32709024.709999997</v>
      </c>
    </row>
    <row r="60" spans="1:15" s="164" customFormat="1" ht="17.25">
      <c r="A60" s="196" t="s">
        <v>32</v>
      </c>
      <c r="B60" s="197"/>
      <c r="C60" s="197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8"/>
    </row>
    <row r="61" spans="1:15" s="164" customFormat="1" ht="17.25">
      <c r="A61" s="198" t="s">
        <v>33</v>
      </c>
      <c r="B61" s="197">
        <v>3280000</v>
      </c>
      <c r="C61" s="203">
        <v>2798358.7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8"/>
    </row>
    <row r="62" spans="1:15" s="164" customFormat="1" ht="17.25">
      <c r="A62" s="198" t="s">
        <v>150</v>
      </c>
      <c r="B62" s="197">
        <v>662000</v>
      </c>
      <c r="C62" s="203">
        <v>677744.6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8"/>
    </row>
    <row r="63" spans="1:15" s="164" customFormat="1" ht="17.25">
      <c r="A63" s="198" t="s">
        <v>35</v>
      </c>
      <c r="B63" s="197">
        <v>550000</v>
      </c>
      <c r="C63" s="203">
        <v>476836.8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8" t="s">
        <v>128</v>
      </c>
    </row>
    <row r="64" spans="1:15" s="164" customFormat="1" ht="17.25">
      <c r="A64" s="198" t="s">
        <v>37</v>
      </c>
      <c r="B64" s="203">
        <v>70000</v>
      </c>
      <c r="C64" s="203">
        <v>83830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8"/>
    </row>
    <row r="65" spans="1:15" s="164" customFormat="1" ht="17.25">
      <c r="A65" s="198" t="s">
        <v>227</v>
      </c>
      <c r="B65" s="197">
        <v>38629210</v>
      </c>
      <c r="C65" s="203">
        <v>29618465.79</v>
      </c>
      <c r="D65" s="179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8"/>
    </row>
    <row r="66" spans="1:15" s="164" customFormat="1" ht="17.25">
      <c r="A66" s="198" t="s">
        <v>228</v>
      </c>
      <c r="B66" s="197">
        <v>10870000</v>
      </c>
      <c r="C66" s="203">
        <v>10354556</v>
      </c>
      <c r="D66" s="174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</row>
    <row r="67" spans="1:15" s="164" customFormat="1" ht="17.25">
      <c r="A67" s="208" t="s">
        <v>229</v>
      </c>
      <c r="B67" s="209">
        <v>0</v>
      </c>
      <c r="C67" s="210">
        <v>10998980</v>
      </c>
      <c r="D67" s="174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</row>
    <row r="68" spans="1:15" s="164" customFormat="1" ht="18" thickBot="1">
      <c r="A68" s="175" t="s">
        <v>18</v>
      </c>
      <c r="B68" s="180">
        <f>SUM(B61:B67)</f>
        <v>54061210</v>
      </c>
      <c r="C68" s="180">
        <f>SUM(C61:C67)</f>
        <v>55008771.89</v>
      </c>
      <c r="D68" s="181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</row>
    <row r="69" spans="1:15" s="164" customFormat="1" ht="18.75" thickBot="1" thickTop="1">
      <c r="A69" s="331" t="s">
        <v>230</v>
      </c>
      <c r="B69" s="332"/>
      <c r="C69" s="182">
        <f>C68-C59</f>
        <v>22299747.180000003</v>
      </c>
      <c r="D69" s="174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</row>
    <row r="70" s="164" customFormat="1" ht="18" thickTop="1"/>
    <row r="71" s="164" customFormat="1" ht="17.25"/>
    <row r="72" s="164" customFormat="1" ht="17.25"/>
    <row r="73" s="164" customFormat="1" ht="17.25"/>
    <row r="74" s="164" customFormat="1" ht="17.25"/>
    <row r="75" s="164" customFormat="1" ht="17.25"/>
    <row r="76" s="164" customFormat="1" ht="17.25"/>
    <row r="77" s="164" customFormat="1" ht="17.25"/>
    <row r="78" s="164" customFormat="1" ht="17.25"/>
    <row r="79" s="164" customFormat="1" ht="17.25"/>
    <row r="80" s="164" customFormat="1" ht="17.25"/>
    <row r="81" s="164" customFormat="1" ht="17.25"/>
    <row r="82" s="164" customFormat="1" ht="17.25"/>
    <row r="83" s="164" customFormat="1" ht="17.25"/>
    <row r="84" s="164" customFormat="1" ht="17.25"/>
    <row r="85" s="164" customFormat="1" ht="17.25"/>
    <row r="86" s="164" customFormat="1" ht="17.25"/>
    <row r="87" s="164" customFormat="1" ht="17.25"/>
    <row r="88" s="164" customFormat="1" ht="17.25"/>
    <row r="89" s="164" customFormat="1" ht="17.25"/>
    <row r="90" s="164" customFormat="1" ht="17.25"/>
    <row r="91" s="164" customFormat="1" ht="17.25"/>
    <row r="92" s="164" customFormat="1" ht="17.25"/>
    <row r="93" s="164" customFormat="1" ht="17.25"/>
    <row r="94" s="164" customFormat="1" ht="17.25"/>
    <row r="95" s="164" customFormat="1" ht="17.25"/>
    <row r="96" s="164" customFormat="1" ht="17.25"/>
    <row r="97" s="164" customFormat="1" ht="17.25"/>
    <row r="98" s="164" customFormat="1" ht="17.25"/>
    <row r="99" s="164" customFormat="1" ht="17.25"/>
    <row r="100" s="164" customFormat="1" ht="17.25"/>
    <row r="101" s="164" customFormat="1" ht="17.25"/>
    <row r="102" s="164" customFormat="1" ht="17.25"/>
    <row r="103" s="164" customFormat="1" ht="17.25"/>
    <row r="104" s="164" customFormat="1" ht="17.25"/>
    <row r="105" s="164" customFormat="1" ht="17.25"/>
    <row r="106" s="164" customFormat="1" ht="17.25"/>
    <row r="107" s="164" customFormat="1" ht="17.25"/>
    <row r="108" s="164" customFormat="1" ht="17.25"/>
    <row r="109" s="164" customFormat="1" ht="17.25"/>
    <row r="110" s="164" customFormat="1" ht="17.25"/>
    <row r="111" s="164" customFormat="1" ht="17.25"/>
    <row r="112" s="164" customFormat="1" ht="17.25"/>
    <row r="113" s="163" customFormat="1" ht="17.25"/>
    <row r="114" s="163" customFormat="1" ht="17.25"/>
    <row r="115" s="163" customFormat="1" ht="17.25"/>
    <row r="116" s="163" customFormat="1" ht="17.25"/>
    <row r="117" s="163" customFormat="1" ht="17.25"/>
    <row r="118" s="163" customFormat="1" ht="17.25"/>
    <row r="119" s="163" customFormat="1" ht="17.25"/>
    <row r="120" s="163" customFormat="1" ht="17.25"/>
    <row r="121" s="163" customFormat="1" ht="17.25"/>
    <row r="122" s="163" customFormat="1" ht="17.25"/>
    <row r="123" s="163" customFormat="1" ht="17.25"/>
    <row r="124" s="163" customFormat="1" ht="17.25"/>
    <row r="125" s="163" customFormat="1" ht="17.25"/>
    <row r="126" s="163" customFormat="1" ht="17.25"/>
    <row r="127" s="163" customFormat="1" ht="17.25"/>
    <row r="128" s="163" customFormat="1" ht="17.25"/>
    <row r="129" s="163" customFormat="1" ht="17.25"/>
    <row r="130" s="163" customFormat="1" ht="17.25"/>
  </sheetData>
  <sheetProtection/>
  <mergeCells count="16"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  <mergeCell ref="A1:O1"/>
    <mergeCell ref="A2:O2"/>
    <mergeCell ref="A3:O3"/>
    <mergeCell ref="E31:O31"/>
    <mergeCell ref="E32:O32"/>
    <mergeCell ref="E33:O33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9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6.7109375" style="0" customWidth="1"/>
    <col min="3" max="3" width="7.28125" style="0" customWidth="1"/>
    <col min="4" max="4" width="7.57421875" style="0" customWidth="1"/>
    <col min="5" max="5" width="8.00390625" style="0" customWidth="1"/>
    <col min="6" max="6" width="7.421875" style="0" customWidth="1"/>
    <col min="7" max="7" width="7.8515625" style="0" customWidth="1"/>
    <col min="8" max="8" width="7.710937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8.140625" style="0" customWidth="1"/>
    <col min="14" max="15" width="8.28125" style="0" customWidth="1"/>
    <col min="16" max="16" width="7.421875" style="0" customWidth="1"/>
    <col min="17" max="17" width="7.57421875" style="0" customWidth="1"/>
    <col min="18" max="18" width="7.7109375" style="0" customWidth="1"/>
    <col min="19" max="19" width="8.57421875" style="0" customWidth="1"/>
    <col min="20" max="20" width="8.28125" style="0" customWidth="1"/>
    <col min="21" max="21" width="7.8515625" style="0" customWidth="1"/>
    <col min="22" max="22" width="7.421875" style="0" customWidth="1"/>
    <col min="23" max="23" width="7.7109375" style="0" customWidth="1"/>
  </cols>
  <sheetData>
    <row r="1" spans="1:24" ht="21.75">
      <c r="A1" s="338" t="s">
        <v>264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ht="21.75">
      <c r="A2" s="338" t="s">
        <v>265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</row>
    <row r="3" spans="1:24" ht="21.75">
      <c r="A3" s="339" t="s">
        <v>266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</row>
    <row r="4" spans="1:24" ht="21.75">
      <c r="A4" s="229" t="s">
        <v>267</v>
      </c>
      <c r="B4" s="334" t="s">
        <v>213</v>
      </c>
      <c r="C4" s="334"/>
      <c r="D4" s="335" t="s">
        <v>214</v>
      </c>
      <c r="E4" s="336"/>
      <c r="F4" s="334" t="s">
        <v>215</v>
      </c>
      <c r="G4" s="334"/>
      <c r="H4" s="229" t="s">
        <v>216</v>
      </c>
      <c r="I4" s="334" t="s">
        <v>217</v>
      </c>
      <c r="J4" s="334"/>
      <c r="K4" s="335" t="s">
        <v>218</v>
      </c>
      <c r="L4" s="337"/>
      <c r="M4" s="336"/>
      <c r="N4" s="230" t="s">
        <v>219</v>
      </c>
      <c r="O4" s="335" t="s">
        <v>220</v>
      </c>
      <c r="P4" s="337"/>
      <c r="Q4" s="337"/>
      <c r="R4" s="336"/>
      <c r="S4" s="334" t="s">
        <v>221</v>
      </c>
      <c r="T4" s="334"/>
      <c r="U4" s="335" t="s">
        <v>268</v>
      </c>
      <c r="V4" s="336"/>
      <c r="W4" s="229" t="s">
        <v>224</v>
      </c>
      <c r="X4" s="231" t="s">
        <v>18</v>
      </c>
    </row>
    <row r="5" spans="1:24" ht="21.75">
      <c r="A5" s="229" t="s">
        <v>78</v>
      </c>
      <c r="B5" s="229" t="s">
        <v>269</v>
      </c>
      <c r="C5" s="229" t="s">
        <v>270</v>
      </c>
      <c r="D5" s="229" t="s">
        <v>271</v>
      </c>
      <c r="E5" s="229" t="s">
        <v>272</v>
      </c>
      <c r="F5" s="229" t="s">
        <v>273</v>
      </c>
      <c r="G5" s="229" t="s">
        <v>274</v>
      </c>
      <c r="H5" s="229" t="s">
        <v>275</v>
      </c>
      <c r="I5" s="229" t="s">
        <v>276</v>
      </c>
      <c r="J5" s="229" t="s">
        <v>277</v>
      </c>
      <c r="K5" s="229" t="s">
        <v>278</v>
      </c>
      <c r="L5" s="229" t="s">
        <v>279</v>
      </c>
      <c r="M5" s="229" t="s">
        <v>280</v>
      </c>
      <c r="N5" s="229" t="s">
        <v>281</v>
      </c>
      <c r="O5" s="229" t="s">
        <v>282</v>
      </c>
      <c r="P5" s="229" t="s">
        <v>283</v>
      </c>
      <c r="Q5" s="229" t="s">
        <v>284</v>
      </c>
      <c r="R5" s="229" t="s">
        <v>285</v>
      </c>
      <c r="S5" s="229" t="s">
        <v>286</v>
      </c>
      <c r="T5" s="229" t="s">
        <v>287</v>
      </c>
      <c r="U5" s="229" t="s">
        <v>288</v>
      </c>
      <c r="V5" s="229" t="s">
        <v>289</v>
      </c>
      <c r="W5" s="229" t="s">
        <v>290</v>
      </c>
      <c r="X5" s="232"/>
    </row>
    <row r="6" spans="1:24" ht="21.75">
      <c r="A6" s="233">
        <v>510000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:24" ht="21.75">
      <c r="A7" s="235">
        <v>110300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>
        <v>47780</v>
      </c>
      <c r="X7" s="234">
        <f aca="true" t="shared" si="0" ref="X7:X13">SUM(B7:W7)</f>
        <v>47780</v>
      </c>
    </row>
    <row r="8" spans="1:24" ht="21.75">
      <c r="A8" s="235">
        <v>110700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6" t="s">
        <v>147</v>
      </c>
      <c r="X8" s="234">
        <f t="shared" si="0"/>
        <v>0</v>
      </c>
    </row>
    <row r="9" spans="1:24" ht="21.75">
      <c r="A9" s="235">
        <v>110800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6" t="s">
        <v>147</v>
      </c>
      <c r="X9" s="234">
        <f t="shared" si="0"/>
        <v>0</v>
      </c>
    </row>
    <row r="10" spans="1:24" ht="21.75">
      <c r="A10" s="235">
        <v>110900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>
        <v>4500</v>
      </c>
      <c r="X10" s="234">
        <f t="shared" si="0"/>
        <v>4500</v>
      </c>
    </row>
    <row r="11" spans="1:24" ht="21.75">
      <c r="A11" s="235">
        <v>111000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6" t="s">
        <v>147</v>
      </c>
      <c r="X11" s="234">
        <f t="shared" si="0"/>
        <v>0</v>
      </c>
    </row>
    <row r="12" spans="1:24" ht="21.75">
      <c r="A12" s="235">
        <v>111100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6" t="s">
        <v>147</v>
      </c>
      <c r="X12" s="234">
        <f t="shared" si="0"/>
        <v>0</v>
      </c>
    </row>
    <row r="13" spans="1:24" ht="21.75">
      <c r="A13" s="235">
        <v>120100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>
        <f t="shared" si="0"/>
        <v>0</v>
      </c>
    </row>
    <row r="14" spans="1:24" ht="21.75">
      <c r="A14" s="235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ht="21.75">
      <c r="A15" s="235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ht="21.75">
      <c r="A16" s="235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21.75">
      <c r="A17" s="237" t="s">
        <v>291</v>
      </c>
      <c r="B17" s="238">
        <f>SUM(B7:B10)</f>
        <v>0</v>
      </c>
      <c r="C17" s="238">
        <f>SUM(C8:C10)</f>
        <v>0</v>
      </c>
      <c r="D17" s="239" t="s">
        <v>147</v>
      </c>
      <c r="E17" s="238">
        <v>0</v>
      </c>
      <c r="F17" s="238">
        <f>SUM(F8:F10)</f>
        <v>0</v>
      </c>
      <c r="G17" s="238">
        <v>0</v>
      </c>
      <c r="H17" s="238">
        <v>0</v>
      </c>
      <c r="I17" s="238">
        <f>SUM(I8:I10)</f>
        <v>0</v>
      </c>
      <c r="J17" s="238">
        <v>0</v>
      </c>
      <c r="K17" s="238" t="s">
        <v>147</v>
      </c>
      <c r="L17" s="238" t="s">
        <v>147</v>
      </c>
      <c r="M17" s="238">
        <v>0</v>
      </c>
      <c r="N17" s="238">
        <v>0</v>
      </c>
      <c r="O17" s="238" t="s">
        <v>147</v>
      </c>
      <c r="P17" s="238">
        <v>0</v>
      </c>
      <c r="Q17" s="238">
        <v>0</v>
      </c>
      <c r="R17" s="238" t="s">
        <v>147</v>
      </c>
      <c r="S17" s="238">
        <f>SUM(S8:S10)</f>
        <v>0</v>
      </c>
      <c r="T17" s="238">
        <v>0</v>
      </c>
      <c r="U17" s="238">
        <v>0</v>
      </c>
      <c r="V17" s="238" t="s">
        <v>147</v>
      </c>
      <c r="W17" s="238">
        <f>SUM(W7:W13)</f>
        <v>52280</v>
      </c>
      <c r="X17" s="238">
        <f>SUM(B17:W17)</f>
        <v>52280</v>
      </c>
    </row>
    <row r="18" spans="1:24" ht="21.75">
      <c r="A18" s="240" t="s">
        <v>292</v>
      </c>
      <c r="B18" s="241">
        <v>0</v>
      </c>
      <c r="C18" s="241">
        <v>0</v>
      </c>
      <c r="D18" s="242" t="s">
        <v>147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 t="s">
        <v>147</v>
      </c>
      <c r="L18" s="241" t="s">
        <v>147</v>
      </c>
      <c r="M18" s="241">
        <v>0</v>
      </c>
      <c r="N18" s="241">
        <v>0</v>
      </c>
      <c r="O18" s="241" t="s">
        <v>147</v>
      </c>
      <c r="P18" s="241">
        <v>0</v>
      </c>
      <c r="Q18" s="241">
        <v>0</v>
      </c>
      <c r="R18" s="241" t="s">
        <v>147</v>
      </c>
      <c r="S18" s="241">
        <v>0</v>
      </c>
      <c r="T18" s="241">
        <v>0</v>
      </c>
      <c r="U18" s="241">
        <v>0</v>
      </c>
      <c r="V18" s="241" t="s">
        <v>147</v>
      </c>
      <c r="W18" s="241">
        <f>SUM(682224+99160+52280)</f>
        <v>833664</v>
      </c>
      <c r="X18" s="241">
        <f>SUM(B18:W18)</f>
        <v>833664</v>
      </c>
    </row>
    <row r="19" spans="1:24" ht="21.75">
      <c r="A19" s="233">
        <v>521000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ht="21.75">
      <c r="A20" s="235">
        <v>210100</v>
      </c>
      <c r="B20" s="234">
        <v>44340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>
        <v>0</v>
      </c>
      <c r="X20" s="236">
        <f aca="true" t="shared" si="1" ref="X20:X25">SUM(B20:W20)</f>
        <v>44340</v>
      </c>
    </row>
    <row r="21" spans="1:24" ht="21.75">
      <c r="A21" s="235">
        <v>210200</v>
      </c>
      <c r="B21" s="234">
        <v>3800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>
        <v>0</v>
      </c>
      <c r="X21" s="236">
        <f t="shared" si="1"/>
        <v>3800</v>
      </c>
    </row>
    <row r="22" spans="1:24" ht="21.75">
      <c r="A22" s="235">
        <v>210300</v>
      </c>
      <c r="B22" s="234">
        <v>3800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>
        <v>0</v>
      </c>
      <c r="X22" s="236">
        <f t="shared" si="1"/>
        <v>3800</v>
      </c>
    </row>
    <row r="23" spans="1:24" ht="21.75">
      <c r="A23" s="235">
        <v>210400</v>
      </c>
      <c r="B23" s="234">
        <v>7560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>
        <v>0</v>
      </c>
      <c r="X23" s="236">
        <f t="shared" si="1"/>
        <v>7560</v>
      </c>
    </row>
    <row r="24" spans="1:24" ht="21.75">
      <c r="A24" s="235">
        <v>210600</v>
      </c>
      <c r="B24" s="234">
        <v>247910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>
        <f t="shared" si="1"/>
        <v>247910</v>
      </c>
    </row>
    <row r="25" spans="1:24" ht="21.75">
      <c r="A25" s="235">
        <v>210700</v>
      </c>
      <c r="B25" s="234">
        <v>7560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>
        <f t="shared" si="1"/>
        <v>7560</v>
      </c>
    </row>
    <row r="26" spans="1:24" ht="21.75">
      <c r="A26" s="235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</row>
    <row r="27" spans="1:24" ht="21.75">
      <c r="A27" s="237" t="s">
        <v>291</v>
      </c>
      <c r="B27" s="238">
        <f>SUM(B20:B25)</f>
        <v>314970</v>
      </c>
      <c r="C27" s="238">
        <f>SUM(C20:C23)</f>
        <v>0</v>
      </c>
      <c r="D27" s="238" t="s">
        <v>147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 t="s">
        <v>147</v>
      </c>
      <c r="L27" s="238" t="s">
        <v>147</v>
      </c>
      <c r="M27" s="238">
        <v>0</v>
      </c>
      <c r="N27" s="238">
        <v>0</v>
      </c>
      <c r="O27" s="238" t="s">
        <v>147</v>
      </c>
      <c r="P27" s="238">
        <v>0</v>
      </c>
      <c r="Q27" s="238">
        <v>0</v>
      </c>
      <c r="R27" s="238" t="s">
        <v>147</v>
      </c>
      <c r="S27" s="238">
        <v>0</v>
      </c>
      <c r="T27" s="238">
        <v>0</v>
      </c>
      <c r="U27" s="238">
        <f>SUM(U20:U23)</f>
        <v>0</v>
      </c>
      <c r="V27" s="238" t="s">
        <v>147</v>
      </c>
      <c r="W27" s="238">
        <v>0</v>
      </c>
      <c r="X27" s="239">
        <f>SUM(B27:W27)</f>
        <v>314970</v>
      </c>
    </row>
    <row r="28" spans="1:24" ht="21.75">
      <c r="A28" s="240" t="s">
        <v>292</v>
      </c>
      <c r="B28" s="243">
        <f>SUM(1889820+314970+314970)</f>
        <v>2519760</v>
      </c>
      <c r="C28" s="241">
        <v>0</v>
      </c>
      <c r="D28" s="241" t="s">
        <v>147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 t="s">
        <v>147</v>
      </c>
      <c r="L28" s="241" t="s">
        <v>147</v>
      </c>
      <c r="M28" s="241">
        <v>0</v>
      </c>
      <c r="N28" s="241">
        <v>0</v>
      </c>
      <c r="O28" s="241" t="s">
        <v>147</v>
      </c>
      <c r="P28" s="241">
        <v>0</v>
      </c>
      <c r="Q28" s="241">
        <v>0</v>
      </c>
      <c r="R28" s="241" t="s">
        <v>147</v>
      </c>
      <c r="S28" s="241">
        <v>0</v>
      </c>
      <c r="T28" s="241">
        <v>0</v>
      </c>
      <c r="U28" s="241">
        <v>0</v>
      </c>
      <c r="V28" s="241" t="s">
        <v>147</v>
      </c>
      <c r="W28" s="241">
        <v>0</v>
      </c>
      <c r="X28" s="242">
        <f>SUM(B28:W28)</f>
        <v>2519760</v>
      </c>
    </row>
    <row r="29" spans="1:24" ht="21.75">
      <c r="A29" s="233">
        <v>522000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</row>
    <row r="30" spans="1:24" ht="21.75">
      <c r="A30" s="246">
        <v>220100</v>
      </c>
      <c r="B30" s="247">
        <f>SUM(183080+16240)</f>
        <v>199320</v>
      </c>
      <c r="C30" s="247">
        <v>78400</v>
      </c>
      <c r="D30" s="247"/>
      <c r="E30" s="247"/>
      <c r="F30" s="247">
        <v>48290</v>
      </c>
      <c r="G30" s="247"/>
      <c r="H30" s="247">
        <v>50390</v>
      </c>
      <c r="I30" s="247">
        <v>29412</v>
      </c>
      <c r="J30" s="247"/>
      <c r="K30" s="247"/>
      <c r="L30" s="247"/>
      <c r="M30" s="247"/>
      <c r="N30" s="247"/>
      <c r="O30" s="247"/>
      <c r="P30" s="247"/>
      <c r="Q30" s="247"/>
      <c r="R30" s="247"/>
      <c r="S30" s="247">
        <v>70710</v>
      </c>
      <c r="T30" s="247"/>
      <c r="U30" s="247">
        <v>16920</v>
      </c>
      <c r="V30" s="247"/>
      <c r="W30" s="247"/>
      <c r="X30" s="248">
        <f aca="true" t="shared" si="2" ref="X30:X38">SUM(B30:W30)</f>
        <v>493442</v>
      </c>
    </row>
    <row r="31" spans="1:24" ht="21.75">
      <c r="A31" s="246">
        <v>220200</v>
      </c>
      <c r="B31" s="247">
        <v>7330</v>
      </c>
      <c r="C31" s="247">
        <v>6135</v>
      </c>
      <c r="D31" s="247"/>
      <c r="E31" s="247"/>
      <c r="F31" s="247">
        <v>2545</v>
      </c>
      <c r="G31" s="247"/>
      <c r="H31" s="247">
        <v>1315</v>
      </c>
      <c r="I31" s="247">
        <v>2160</v>
      </c>
      <c r="J31" s="247"/>
      <c r="K31" s="247"/>
      <c r="L31" s="247"/>
      <c r="M31" s="247"/>
      <c r="N31" s="247"/>
      <c r="O31" s="247"/>
      <c r="P31" s="247"/>
      <c r="Q31" s="247"/>
      <c r="R31" s="247"/>
      <c r="S31" s="247">
        <v>3690</v>
      </c>
      <c r="T31" s="247"/>
      <c r="U31" s="247"/>
      <c r="V31" s="247"/>
      <c r="W31" s="247"/>
      <c r="X31" s="248">
        <f t="shared" si="2"/>
        <v>23175</v>
      </c>
    </row>
    <row r="32" spans="1:24" ht="21.75">
      <c r="A32" s="246">
        <v>220300</v>
      </c>
      <c r="B32" s="247">
        <v>9100</v>
      </c>
      <c r="C32" s="247">
        <v>3500</v>
      </c>
      <c r="D32" s="247"/>
      <c r="E32" s="247"/>
      <c r="F32" s="247">
        <v>3500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>
        <v>3500</v>
      </c>
      <c r="T32" s="247"/>
      <c r="U32" s="247"/>
      <c r="V32" s="247"/>
      <c r="W32" s="247"/>
      <c r="X32" s="248">
        <f t="shared" si="2"/>
        <v>19600</v>
      </c>
    </row>
    <row r="33" spans="1:24" ht="21.75">
      <c r="A33" s="246">
        <v>220600</v>
      </c>
      <c r="B33" s="247">
        <v>63050</v>
      </c>
      <c r="C33" s="247">
        <v>13730</v>
      </c>
      <c r="D33" s="247"/>
      <c r="E33" s="247"/>
      <c r="F33" s="247">
        <v>29520</v>
      </c>
      <c r="G33" s="247"/>
      <c r="H33" s="247"/>
      <c r="I33" s="247">
        <v>12320</v>
      </c>
      <c r="J33" s="247"/>
      <c r="K33" s="247">
        <v>114208</v>
      </c>
      <c r="L33" s="247"/>
      <c r="M33" s="247"/>
      <c r="N33" s="247"/>
      <c r="O33" s="247"/>
      <c r="P33" s="247"/>
      <c r="Q33" s="247"/>
      <c r="R33" s="247"/>
      <c r="S33" s="247">
        <v>14070</v>
      </c>
      <c r="T33" s="247"/>
      <c r="U33" s="247">
        <v>16772</v>
      </c>
      <c r="V33" s="247"/>
      <c r="W33" s="247"/>
      <c r="X33" s="248">
        <f t="shared" si="2"/>
        <v>263670</v>
      </c>
    </row>
    <row r="34" spans="1:24" ht="21.75">
      <c r="A34" s="246">
        <v>220700</v>
      </c>
      <c r="B34" s="247">
        <v>28040</v>
      </c>
      <c r="C34" s="247">
        <v>4270</v>
      </c>
      <c r="D34" s="247"/>
      <c r="E34" s="247"/>
      <c r="F34" s="247">
        <v>30480</v>
      </c>
      <c r="G34" s="247"/>
      <c r="H34" s="247"/>
      <c r="I34" s="247">
        <v>5680</v>
      </c>
      <c r="J34" s="247"/>
      <c r="K34" s="247">
        <v>68364</v>
      </c>
      <c r="L34" s="247"/>
      <c r="M34" s="247"/>
      <c r="N34" s="247"/>
      <c r="O34" s="247"/>
      <c r="P34" s="247"/>
      <c r="Q34" s="247"/>
      <c r="R34" s="247"/>
      <c r="S34" s="247">
        <v>4230</v>
      </c>
      <c r="T34" s="247"/>
      <c r="U34" s="247">
        <v>10050</v>
      </c>
      <c r="V34" s="247"/>
      <c r="W34" s="247"/>
      <c r="X34" s="248">
        <f t="shared" si="2"/>
        <v>151114</v>
      </c>
    </row>
    <row r="35" spans="1:24" ht="21.75">
      <c r="A35" s="246">
        <v>221100</v>
      </c>
      <c r="B35" s="247">
        <v>5600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8">
        <f t="shared" si="2"/>
        <v>5600</v>
      </c>
    </row>
    <row r="36" spans="1:24" ht="21.75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</row>
    <row r="37" spans="1:24" ht="21.75">
      <c r="A37" s="24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8"/>
    </row>
    <row r="38" spans="1:24" ht="21.75">
      <c r="A38" s="24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8">
        <f t="shared" si="2"/>
        <v>0</v>
      </c>
    </row>
    <row r="39" spans="1:24" ht="21.75">
      <c r="A39" s="237" t="s">
        <v>291</v>
      </c>
      <c r="B39" s="249">
        <f>SUM(B30:B38)</f>
        <v>312440</v>
      </c>
      <c r="C39" s="249">
        <f>SUM(C30:C38)</f>
        <v>106035</v>
      </c>
      <c r="D39" s="250" t="s">
        <v>147</v>
      </c>
      <c r="E39" s="249">
        <f aca="true" t="shared" si="3" ref="E39:K39">SUM(E30:E38)</f>
        <v>0</v>
      </c>
      <c r="F39" s="249">
        <f t="shared" si="3"/>
        <v>114335</v>
      </c>
      <c r="G39" s="249">
        <f t="shared" si="3"/>
        <v>0</v>
      </c>
      <c r="H39" s="249">
        <f t="shared" si="3"/>
        <v>51705</v>
      </c>
      <c r="I39" s="249">
        <f t="shared" si="3"/>
        <v>49572</v>
      </c>
      <c r="J39" s="249">
        <f t="shared" si="3"/>
        <v>0</v>
      </c>
      <c r="K39" s="249">
        <f t="shared" si="3"/>
        <v>182572</v>
      </c>
      <c r="L39" s="249" t="s">
        <v>147</v>
      </c>
      <c r="M39" s="249">
        <f>SUM(M30:M38)</f>
        <v>0</v>
      </c>
      <c r="N39" s="249">
        <f>SUM(N30:N38)</f>
        <v>0</v>
      </c>
      <c r="O39" s="249" t="s">
        <v>147</v>
      </c>
      <c r="P39" s="249">
        <f>SUM(P30:P38)</f>
        <v>0</v>
      </c>
      <c r="Q39" s="249">
        <f>SUM(Q30:Q38)</f>
        <v>0</v>
      </c>
      <c r="R39" s="249" t="s">
        <v>147</v>
      </c>
      <c r="S39" s="249">
        <f>SUM(S30:S38)</f>
        <v>96200</v>
      </c>
      <c r="T39" s="249">
        <f>SUM(T30:T38)</f>
        <v>0</v>
      </c>
      <c r="U39" s="249">
        <f>SUM(U30:U38)</f>
        <v>43742</v>
      </c>
      <c r="V39" s="249" t="s">
        <v>147</v>
      </c>
      <c r="W39" s="249">
        <f>SUM(W30:W38)</f>
        <v>0</v>
      </c>
      <c r="X39" s="251">
        <f>SUM(B39:W39)</f>
        <v>956601</v>
      </c>
    </row>
    <row r="40" spans="1:24" ht="21.75">
      <c r="A40" s="240" t="s">
        <v>292</v>
      </c>
      <c r="B40" s="252">
        <f>SUM(1990246+312440+312440)</f>
        <v>2615126</v>
      </c>
      <c r="C40" s="252">
        <f>SUM(718240+106035+106035)</f>
        <v>930310</v>
      </c>
      <c r="D40" s="242" t="s">
        <v>147</v>
      </c>
      <c r="E40" s="242" t="s">
        <v>147</v>
      </c>
      <c r="F40" s="252">
        <f>SUM(805206+114335+114335)</f>
        <v>1033876</v>
      </c>
      <c r="G40" s="242" t="s">
        <v>147</v>
      </c>
      <c r="H40" s="252">
        <f>SUM(455228+60205+51705)</f>
        <v>567138</v>
      </c>
      <c r="I40" s="252">
        <f>SUM(152418+48140+49572)</f>
        <v>250130</v>
      </c>
      <c r="J40" s="253" t="s">
        <v>147</v>
      </c>
      <c r="K40" s="252">
        <f>SUM(1073832+189290+182572)</f>
        <v>1445694</v>
      </c>
      <c r="L40" s="252" t="s">
        <v>147</v>
      </c>
      <c r="M40" s="252" t="s">
        <v>147</v>
      </c>
      <c r="N40" s="252" t="s">
        <v>147</v>
      </c>
      <c r="O40" s="252" t="s">
        <v>147</v>
      </c>
      <c r="P40" s="252" t="s">
        <v>147</v>
      </c>
      <c r="Q40" s="252" t="s">
        <v>147</v>
      </c>
      <c r="R40" s="252" t="s">
        <v>147</v>
      </c>
      <c r="S40" s="252">
        <f>SUM(589447+96200+96200)</f>
        <v>781847</v>
      </c>
      <c r="T40" s="252" t="s">
        <v>147</v>
      </c>
      <c r="U40" s="252">
        <f>SUM(246570+43920+43742)</f>
        <v>334232</v>
      </c>
      <c r="V40" s="252" t="s">
        <v>147</v>
      </c>
      <c r="W40" s="252" t="s">
        <v>147</v>
      </c>
      <c r="X40" s="254">
        <f>SUM(B40:W40)</f>
        <v>7958353</v>
      </c>
    </row>
    <row r="41" spans="1:24" ht="21.75">
      <c r="A41" s="229" t="s">
        <v>267</v>
      </c>
      <c r="B41" s="334" t="s">
        <v>213</v>
      </c>
      <c r="C41" s="334"/>
      <c r="D41" s="335" t="s">
        <v>214</v>
      </c>
      <c r="E41" s="336"/>
      <c r="F41" s="334" t="s">
        <v>215</v>
      </c>
      <c r="G41" s="334"/>
      <c r="H41" s="229" t="s">
        <v>216</v>
      </c>
      <c r="I41" s="334" t="s">
        <v>217</v>
      </c>
      <c r="J41" s="334"/>
      <c r="K41" s="335" t="s">
        <v>218</v>
      </c>
      <c r="L41" s="337"/>
      <c r="M41" s="336"/>
      <c r="N41" s="230" t="s">
        <v>219</v>
      </c>
      <c r="O41" s="335" t="s">
        <v>220</v>
      </c>
      <c r="P41" s="337"/>
      <c r="Q41" s="337"/>
      <c r="R41" s="336"/>
      <c r="S41" s="334" t="s">
        <v>221</v>
      </c>
      <c r="T41" s="334"/>
      <c r="U41" s="335" t="s">
        <v>268</v>
      </c>
      <c r="V41" s="336"/>
      <c r="W41" s="229" t="s">
        <v>224</v>
      </c>
      <c r="X41" s="231" t="s">
        <v>18</v>
      </c>
    </row>
    <row r="42" spans="1:24" ht="21.75">
      <c r="A42" s="229" t="s">
        <v>78</v>
      </c>
      <c r="B42" s="229" t="s">
        <v>269</v>
      </c>
      <c r="C42" s="229" t="s">
        <v>270</v>
      </c>
      <c r="D42" s="229" t="s">
        <v>271</v>
      </c>
      <c r="E42" s="229" t="s">
        <v>272</v>
      </c>
      <c r="F42" s="229" t="s">
        <v>273</v>
      </c>
      <c r="G42" s="229" t="s">
        <v>274</v>
      </c>
      <c r="H42" s="229" t="s">
        <v>275</v>
      </c>
      <c r="I42" s="229" t="s">
        <v>276</v>
      </c>
      <c r="J42" s="229" t="s">
        <v>277</v>
      </c>
      <c r="K42" s="229" t="s">
        <v>278</v>
      </c>
      <c r="L42" s="229" t="s">
        <v>279</v>
      </c>
      <c r="M42" s="229" t="s">
        <v>280</v>
      </c>
      <c r="N42" s="229" t="s">
        <v>281</v>
      </c>
      <c r="O42" s="229" t="s">
        <v>282</v>
      </c>
      <c r="P42" s="229" t="s">
        <v>283</v>
      </c>
      <c r="Q42" s="229" t="s">
        <v>284</v>
      </c>
      <c r="R42" s="229" t="s">
        <v>285</v>
      </c>
      <c r="S42" s="229" t="s">
        <v>286</v>
      </c>
      <c r="T42" s="229" t="s">
        <v>287</v>
      </c>
      <c r="U42" s="229" t="s">
        <v>288</v>
      </c>
      <c r="V42" s="229" t="s">
        <v>289</v>
      </c>
      <c r="W42" s="229" t="s">
        <v>290</v>
      </c>
      <c r="X42" s="232"/>
    </row>
    <row r="43" spans="1:24" ht="21.75">
      <c r="A43" s="233">
        <v>531000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5"/>
    </row>
    <row r="44" spans="1:24" ht="21.75">
      <c r="A44" s="246">
        <v>310100</v>
      </c>
      <c r="B44" s="247"/>
      <c r="C44" s="247"/>
      <c r="D44" s="247"/>
      <c r="E44" s="247">
        <v>8200</v>
      </c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8">
        <f aca="true" t="shared" si="4" ref="X44:X49">SUM(B44:W44)</f>
        <v>8200</v>
      </c>
    </row>
    <row r="45" spans="1:24" ht="21.75">
      <c r="A45" s="246">
        <v>310200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8">
        <f t="shared" si="4"/>
        <v>0</v>
      </c>
    </row>
    <row r="46" spans="1:24" ht="21.75">
      <c r="A46" s="246">
        <v>310300</v>
      </c>
      <c r="B46" s="247"/>
      <c r="C46" s="247"/>
      <c r="D46" s="247"/>
      <c r="E46" s="247"/>
      <c r="F46" s="247"/>
      <c r="G46" s="247"/>
      <c r="H46" s="247">
        <v>19440</v>
      </c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8">
        <f t="shared" si="4"/>
        <v>19440</v>
      </c>
    </row>
    <row r="47" spans="1:24" ht="21.75">
      <c r="A47" s="246">
        <v>310400</v>
      </c>
      <c r="B47" s="247">
        <v>11000</v>
      </c>
      <c r="C47" s="247">
        <v>6900</v>
      </c>
      <c r="D47" s="247"/>
      <c r="E47" s="247"/>
      <c r="F47" s="247">
        <v>2400</v>
      </c>
      <c r="G47" s="247"/>
      <c r="H47" s="247">
        <v>3000</v>
      </c>
      <c r="I47" s="247">
        <v>2000</v>
      </c>
      <c r="J47" s="247"/>
      <c r="K47" s="247"/>
      <c r="L47" s="247"/>
      <c r="M47" s="247"/>
      <c r="N47" s="247"/>
      <c r="O47" s="247"/>
      <c r="P47" s="247"/>
      <c r="Q47" s="247"/>
      <c r="R47" s="247"/>
      <c r="S47" s="247">
        <v>3000</v>
      </c>
      <c r="T47" s="247"/>
      <c r="U47" s="247">
        <v>3000</v>
      </c>
      <c r="V47" s="247"/>
      <c r="W47" s="247"/>
      <c r="X47" s="248">
        <f t="shared" si="4"/>
        <v>31300</v>
      </c>
    </row>
    <row r="48" spans="1:24" ht="21.75">
      <c r="A48" s="246">
        <v>310500</v>
      </c>
      <c r="B48" s="247"/>
      <c r="C48" s="247">
        <v>4329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8">
        <f t="shared" si="4"/>
        <v>4329</v>
      </c>
    </row>
    <row r="49" spans="1:24" ht="21.75">
      <c r="A49" s="246">
        <v>310600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8">
        <f t="shared" si="4"/>
        <v>0</v>
      </c>
    </row>
    <row r="50" spans="1:24" ht="21.75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8"/>
    </row>
    <row r="51" spans="1:24" ht="21.75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8"/>
    </row>
    <row r="52" spans="1:24" ht="21.7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8"/>
    </row>
    <row r="53" spans="1:24" ht="21.75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8"/>
    </row>
    <row r="54" spans="1:24" ht="21.75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8"/>
    </row>
    <row r="55" spans="1:24" ht="21.75">
      <c r="A55" s="237" t="s">
        <v>291</v>
      </c>
      <c r="B55" s="255">
        <f>SUM(B44:B54)</f>
        <v>11000</v>
      </c>
      <c r="C55" s="255">
        <f>SUM(C44:C54)</f>
        <v>11229</v>
      </c>
      <c r="D55" s="255" t="s">
        <v>147</v>
      </c>
      <c r="E55" s="255">
        <f>SUM(E44:E54)</f>
        <v>8200</v>
      </c>
      <c r="F55" s="255">
        <f>SUM(F44:F49)</f>
        <v>2400</v>
      </c>
      <c r="G55" s="255" t="s">
        <v>147</v>
      </c>
      <c r="H55" s="255">
        <f>SUM(H44:H54)</f>
        <v>22440</v>
      </c>
      <c r="I55" s="255">
        <f>SUM(I44:I54)</f>
        <v>2000</v>
      </c>
      <c r="J55" s="255" t="s">
        <v>147</v>
      </c>
      <c r="K55" s="255" t="s">
        <v>147</v>
      </c>
      <c r="L55" s="255" t="s">
        <v>147</v>
      </c>
      <c r="M55" s="255">
        <f>SUM(M46:M49)</f>
        <v>0</v>
      </c>
      <c r="N55" s="255" t="s">
        <v>147</v>
      </c>
      <c r="O55" s="255" t="s">
        <v>147</v>
      </c>
      <c r="P55" s="255" t="s">
        <v>147</v>
      </c>
      <c r="Q55" s="255" t="s">
        <v>147</v>
      </c>
      <c r="R55" s="255">
        <f>SUM(R44:R54)</f>
        <v>0</v>
      </c>
      <c r="S55" s="255">
        <f>SUM(S44:S54)</f>
        <v>3000</v>
      </c>
      <c r="T55" s="255" t="s">
        <v>147</v>
      </c>
      <c r="U55" s="255">
        <f>SUM(U44:U54)</f>
        <v>3000</v>
      </c>
      <c r="V55" s="255" t="s">
        <v>147</v>
      </c>
      <c r="W55" s="255" t="s">
        <v>147</v>
      </c>
      <c r="X55" s="256">
        <f>SUM(B55:W55)</f>
        <v>63269</v>
      </c>
    </row>
    <row r="56" spans="1:24" ht="21.75">
      <c r="A56" s="240" t="s">
        <v>292</v>
      </c>
      <c r="B56" s="252">
        <f>SUM(135289.5+11000+11000)</f>
        <v>157289.5</v>
      </c>
      <c r="C56" s="252">
        <f>SUM(47490.5+8724+11229)</f>
        <v>67443.5</v>
      </c>
      <c r="D56" s="252" t="s">
        <v>147</v>
      </c>
      <c r="E56" s="252">
        <f>SUM(86000+20400+8200)</f>
        <v>114600</v>
      </c>
      <c r="F56" s="252">
        <f>SUM(24687.75+24200+2400)</f>
        <v>51287.75</v>
      </c>
      <c r="G56" s="252" t="s">
        <v>147</v>
      </c>
      <c r="H56" s="252">
        <f>SUM(170077+29305+22440)</f>
        <v>221822</v>
      </c>
      <c r="I56" s="252">
        <f>SUM(17302+2000+2000)</f>
        <v>21302</v>
      </c>
      <c r="J56" s="252" t="s">
        <v>147</v>
      </c>
      <c r="K56" s="252" t="s">
        <v>147</v>
      </c>
      <c r="L56" s="252" t="s">
        <v>147</v>
      </c>
      <c r="M56" s="252" t="s">
        <v>147</v>
      </c>
      <c r="N56" s="252" t="s">
        <v>147</v>
      </c>
      <c r="O56" s="252" t="s">
        <v>147</v>
      </c>
      <c r="P56" s="252" t="s">
        <v>147</v>
      </c>
      <c r="Q56" s="252" t="s">
        <v>147</v>
      </c>
      <c r="R56" s="252" t="s">
        <v>147</v>
      </c>
      <c r="S56" s="252">
        <f>SUM(77116.5+3000+3000)</f>
        <v>83116.5</v>
      </c>
      <c r="T56" s="252" t="s">
        <v>147</v>
      </c>
      <c r="U56" s="252">
        <f>SUM(16465+3000+3000)</f>
        <v>22465</v>
      </c>
      <c r="V56" s="252" t="s">
        <v>147</v>
      </c>
      <c r="W56" s="252" t="s">
        <v>147</v>
      </c>
      <c r="X56" s="254">
        <f>SUM(B56:W56)</f>
        <v>739326.25</v>
      </c>
    </row>
    <row r="57" spans="1:24" ht="21.75">
      <c r="A57" s="229" t="s">
        <v>267</v>
      </c>
      <c r="B57" s="334" t="s">
        <v>213</v>
      </c>
      <c r="C57" s="334"/>
      <c r="D57" s="335" t="s">
        <v>214</v>
      </c>
      <c r="E57" s="336"/>
      <c r="F57" s="334" t="s">
        <v>215</v>
      </c>
      <c r="G57" s="334"/>
      <c r="H57" s="229" t="s">
        <v>216</v>
      </c>
      <c r="I57" s="334" t="s">
        <v>217</v>
      </c>
      <c r="J57" s="334"/>
      <c r="K57" s="335" t="s">
        <v>218</v>
      </c>
      <c r="L57" s="337"/>
      <c r="M57" s="336"/>
      <c r="N57" s="229" t="s">
        <v>219</v>
      </c>
      <c r="O57" s="335" t="s">
        <v>220</v>
      </c>
      <c r="P57" s="337"/>
      <c r="Q57" s="337"/>
      <c r="R57" s="336"/>
      <c r="S57" s="334" t="s">
        <v>221</v>
      </c>
      <c r="T57" s="334"/>
      <c r="U57" s="229" t="s">
        <v>268</v>
      </c>
      <c r="V57" s="229" t="s">
        <v>223</v>
      </c>
      <c r="W57" s="229" t="s">
        <v>224</v>
      </c>
      <c r="X57" s="229" t="s">
        <v>18</v>
      </c>
    </row>
    <row r="58" spans="1:24" ht="21.75">
      <c r="A58" s="229" t="s">
        <v>78</v>
      </c>
      <c r="B58" s="229" t="s">
        <v>269</v>
      </c>
      <c r="C58" s="229" t="s">
        <v>270</v>
      </c>
      <c r="D58" s="229" t="s">
        <v>271</v>
      </c>
      <c r="E58" s="229" t="s">
        <v>272</v>
      </c>
      <c r="F58" s="229" t="s">
        <v>273</v>
      </c>
      <c r="G58" s="229" t="s">
        <v>274</v>
      </c>
      <c r="H58" s="229" t="s">
        <v>275</v>
      </c>
      <c r="I58" s="229" t="s">
        <v>276</v>
      </c>
      <c r="J58" s="229" t="s">
        <v>277</v>
      </c>
      <c r="K58" s="229" t="s">
        <v>278</v>
      </c>
      <c r="L58" s="229" t="s">
        <v>279</v>
      </c>
      <c r="M58" s="229" t="s">
        <v>280</v>
      </c>
      <c r="N58" s="229" t="s">
        <v>281</v>
      </c>
      <c r="O58" s="229" t="s">
        <v>282</v>
      </c>
      <c r="P58" s="229" t="s">
        <v>283</v>
      </c>
      <c r="Q58" s="229" t="s">
        <v>284</v>
      </c>
      <c r="R58" s="229" t="s">
        <v>285</v>
      </c>
      <c r="S58" s="229" t="s">
        <v>286</v>
      </c>
      <c r="T58" s="229" t="s">
        <v>287</v>
      </c>
      <c r="U58" s="229" t="s">
        <v>288</v>
      </c>
      <c r="V58" s="229" t="s">
        <v>289</v>
      </c>
      <c r="W58" s="229" t="s">
        <v>290</v>
      </c>
      <c r="X58" s="229"/>
    </row>
    <row r="59" spans="1:24" ht="21.75">
      <c r="A59" s="233">
        <v>532000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5"/>
    </row>
    <row r="60" spans="1:24" ht="21.75">
      <c r="A60" s="246">
        <v>320100</v>
      </c>
      <c r="B60" s="247">
        <v>10300</v>
      </c>
      <c r="C60" s="247"/>
      <c r="D60" s="247"/>
      <c r="E60" s="247"/>
      <c r="F60" s="247">
        <v>3900</v>
      </c>
      <c r="G60" s="247"/>
      <c r="H60" s="247">
        <v>42399.6</v>
      </c>
      <c r="I60" s="247">
        <v>3500</v>
      </c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8">
        <f>SUM(B60:W60)</f>
        <v>60099.6</v>
      </c>
    </row>
    <row r="61" spans="1:24" ht="21.75">
      <c r="A61" s="246">
        <v>320200</v>
      </c>
      <c r="B61" s="247">
        <v>11850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8">
        <f>SUM(B61:W61)</f>
        <v>11850</v>
      </c>
    </row>
    <row r="62" spans="1:24" ht="21.75">
      <c r="A62" s="246">
        <v>320300</v>
      </c>
      <c r="B62" s="247">
        <f>SUM(827.2+38500+4118)</f>
        <v>43445.2</v>
      </c>
      <c r="C62" s="247"/>
      <c r="D62" s="247">
        <v>6800</v>
      </c>
      <c r="E62" s="247">
        <v>99580</v>
      </c>
      <c r="F62" s="247">
        <v>2890</v>
      </c>
      <c r="G62" s="247"/>
      <c r="H62" s="247">
        <v>10032</v>
      </c>
      <c r="I62" s="247">
        <v>4098</v>
      </c>
      <c r="J62" s="247"/>
      <c r="K62" s="247"/>
      <c r="L62" s="247"/>
      <c r="M62" s="247"/>
      <c r="N62" s="247">
        <f>SUM(25302+6050)</f>
        <v>31352</v>
      </c>
      <c r="O62" s="247"/>
      <c r="P62" s="247"/>
      <c r="Q62" s="247"/>
      <c r="R62" s="247"/>
      <c r="S62" s="247"/>
      <c r="T62" s="247"/>
      <c r="U62" s="247">
        <f>SUM(37600+91940+4600)</f>
        <v>134140</v>
      </c>
      <c r="V62" s="247"/>
      <c r="W62" s="247"/>
      <c r="X62" s="248">
        <f>SUM(B62:W62)</f>
        <v>332337.2</v>
      </c>
    </row>
    <row r="63" spans="1:24" ht="21.75">
      <c r="A63" s="246">
        <v>320400</v>
      </c>
      <c r="B63" s="247"/>
      <c r="C63" s="247"/>
      <c r="D63" s="247"/>
      <c r="E63" s="247"/>
      <c r="F63" s="247"/>
      <c r="G63" s="247"/>
      <c r="H63" s="247">
        <v>3460</v>
      </c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>
        <v>1687.39</v>
      </c>
      <c r="T63" s="247"/>
      <c r="U63" s="247"/>
      <c r="V63" s="247"/>
      <c r="W63" s="247"/>
      <c r="X63" s="248">
        <f>SUM(B63:W63)</f>
        <v>5147.39</v>
      </c>
    </row>
    <row r="64" spans="1:24" ht="21.75">
      <c r="A64" s="237" t="s">
        <v>291</v>
      </c>
      <c r="B64" s="255">
        <f aca="true" t="shared" si="5" ref="B64:I64">SUM(B60:B63)</f>
        <v>65595.2</v>
      </c>
      <c r="C64" s="255">
        <f t="shared" si="5"/>
        <v>0</v>
      </c>
      <c r="D64" s="255">
        <f t="shared" si="5"/>
        <v>6800</v>
      </c>
      <c r="E64" s="255">
        <f t="shared" si="5"/>
        <v>99580</v>
      </c>
      <c r="F64" s="255">
        <f t="shared" si="5"/>
        <v>6790</v>
      </c>
      <c r="G64" s="255">
        <f t="shared" si="5"/>
        <v>0</v>
      </c>
      <c r="H64" s="255">
        <f t="shared" si="5"/>
        <v>55891.6</v>
      </c>
      <c r="I64" s="255">
        <f t="shared" si="5"/>
        <v>7598</v>
      </c>
      <c r="J64" s="255" t="s">
        <v>147</v>
      </c>
      <c r="K64" s="255" t="s">
        <v>147</v>
      </c>
      <c r="L64" s="255" t="s">
        <v>147</v>
      </c>
      <c r="M64" s="255" t="s">
        <v>147</v>
      </c>
      <c r="N64" s="255">
        <f>SUM(N60:N63)</f>
        <v>31352</v>
      </c>
      <c r="O64" s="255">
        <f>SUM(O60:O63)</f>
        <v>0</v>
      </c>
      <c r="P64" s="255" t="s">
        <v>147</v>
      </c>
      <c r="Q64" s="255">
        <f>SUM(Q60:Q63)</f>
        <v>0</v>
      </c>
      <c r="R64" s="255">
        <f>SUM(R60:R63)</f>
        <v>0</v>
      </c>
      <c r="S64" s="255">
        <f>SUM(S60:S63)</f>
        <v>1687.39</v>
      </c>
      <c r="T64" s="255" t="s">
        <v>147</v>
      </c>
      <c r="U64" s="255">
        <f>SUM(U60:U63)</f>
        <v>134140</v>
      </c>
      <c r="V64" s="255" t="s">
        <v>147</v>
      </c>
      <c r="W64" s="255" t="s">
        <v>147</v>
      </c>
      <c r="X64" s="256">
        <f>SUM(X60:X63)</f>
        <v>409434.19000000006</v>
      </c>
    </row>
    <row r="65" spans="1:24" ht="21.75">
      <c r="A65" s="240" t="s">
        <v>292</v>
      </c>
      <c r="B65" s="252">
        <f>SUM(1368904.58+516068+65595.2)</f>
        <v>1950567.78</v>
      </c>
      <c r="C65" s="252">
        <f>SUM(10907.37+4800)</f>
        <v>15707.37</v>
      </c>
      <c r="D65" s="252">
        <f>SUM(122767+2800+6800)</f>
        <v>132367</v>
      </c>
      <c r="E65" s="252">
        <f>SUM(366605+165990+99580)</f>
        <v>632175</v>
      </c>
      <c r="F65" s="252">
        <f>SUM(67554+13326+6790)</f>
        <v>87670</v>
      </c>
      <c r="G65" s="252">
        <f>SUM(646000+24290)</f>
        <v>670290</v>
      </c>
      <c r="H65" s="252">
        <f>SUM(157869.54+92384.63+55891.6)</f>
        <v>306145.77</v>
      </c>
      <c r="I65" s="252">
        <f>SUM(8900+54700+7598)</f>
        <v>71198</v>
      </c>
      <c r="J65" s="252" t="s">
        <v>147</v>
      </c>
      <c r="K65" s="252" t="s">
        <v>147</v>
      </c>
      <c r="L65" s="252" t="s">
        <v>147</v>
      </c>
      <c r="M65" s="252" t="s">
        <v>147</v>
      </c>
      <c r="N65" s="252">
        <f>SUM(129250+6050+31352)</f>
        <v>166652</v>
      </c>
      <c r="O65" s="252">
        <v>26452</v>
      </c>
      <c r="P65" s="252" t="s">
        <v>147</v>
      </c>
      <c r="Q65" s="252">
        <v>6209</v>
      </c>
      <c r="R65" s="252">
        <f>SUM(63500+136500)</f>
        <v>200000</v>
      </c>
      <c r="S65" s="252">
        <f>SUM(41168+250+1687.39)</f>
        <v>43105.39</v>
      </c>
      <c r="T65" s="252" t="s">
        <v>147</v>
      </c>
      <c r="U65" s="252">
        <f>SUM(2636+199090+134140)</f>
        <v>335866</v>
      </c>
      <c r="V65" s="252" t="s">
        <v>147</v>
      </c>
      <c r="W65" s="252" t="s">
        <v>147</v>
      </c>
      <c r="X65" s="254">
        <f>SUM(B65:W65)</f>
        <v>4644405.31</v>
      </c>
    </row>
    <row r="66" spans="1:24" ht="21.75">
      <c r="A66" s="233">
        <v>533000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>
        <f>SUM(W20:W27)</f>
        <v>0</v>
      </c>
      <c r="X66" s="234"/>
    </row>
    <row r="67" spans="1:24" ht="21.75">
      <c r="A67" s="235">
        <v>330100</v>
      </c>
      <c r="B67" s="234">
        <v>4600</v>
      </c>
      <c r="C67" s="234"/>
      <c r="D67" s="234"/>
      <c r="E67" s="234"/>
      <c r="F67" s="234">
        <v>22925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>
        <f aca="true" t="shared" si="6" ref="X67:X75">SUM(B67:W67)</f>
        <v>27525</v>
      </c>
    </row>
    <row r="68" spans="1:24" ht="21.75">
      <c r="A68" s="235">
        <v>330200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>
        <f t="shared" si="6"/>
        <v>0</v>
      </c>
    </row>
    <row r="69" spans="1:24" ht="21.75">
      <c r="A69" s="235">
        <v>330300</v>
      </c>
      <c r="B69" s="234"/>
      <c r="C69" s="234"/>
      <c r="D69" s="234"/>
      <c r="E69" s="234"/>
      <c r="F69" s="234">
        <v>6000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>
        <f t="shared" si="6"/>
        <v>6000</v>
      </c>
    </row>
    <row r="70" spans="1:24" ht="21.75">
      <c r="A70" s="235">
        <v>330400</v>
      </c>
      <c r="B70" s="234"/>
      <c r="C70" s="234"/>
      <c r="D70" s="234"/>
      <c r="E70" s="234"/>
      <c r="F70" s="234"/>
      <c r="G70" s="234">
        <v>506818.69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>
        <f>SUM(B70:W70)</f>
        <v>506818.69</v>
      </c>
    </row>
    <row r="71" spans="1:24" ht="21.75">
      <c r="A71" s="235">
        <v>330600</v>
      </c>
      <c r="B71" s="234"/>
      <c r="C71" s="234"/>
      <c r="D71" s="234"/>
      <c r="E71" s="234"/>
      <c r="F71" s="234">
        <v>6444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>
        <f t="shared" si="6"/>
        <v>6444</v>
      </c>
    </row>
    <row r="72" spans="1:24" ht="21.75">
      <c r="A72" s="235">
        <v>330700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>
        <v>5700</v>
      </c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>
        <f t="shared" si="6"/>
        <v>5700</v>
      </c>
    </row>
    <row r="73" spans="1:24" ht="21.75">
      <c r="A73" s="235">
        <v>330800</v>
      </c>
      <c r="B73" s="234">
        <v>4600</v>
      </c>
      <c r="C73" s="234">
        <v>4000</v>
      </c>
      <c r="D73" s="234"/>
      <c r="E73" s="234"/>
      <c r="F73" s="234">
        <v>2000</v>
      </c>
      <c r="G73" s="234"/>
      <c r="H73" s="234"/>
      <c r="I73" s="234">
        <v>3500</v>
      </c>
      <c r="J73" s="234"/>
      <c r="K73" s="234">
        <v>65660</v>
      </c>
      <c r="L73" s="234"/>
      <c r="M73" s="234"/>
      <c r="N73" s="234"/>
      <c r="O73" s="234"/>
      <c r="P73" s="234"/>
      <c r="Q73" s="234"/>
      <c r="R73" s="234"/>
      <c r="S73" s="234">
        <v>8100</v>
      </c>
      <c r="T73" s="234"/>
      <c r="U73" s="234"/>
      <c r="V73" s="234"/>
      <c r="W73" s="234"/>
      <c r="X73" s="234">
        <f t="shared" si="6"/>
        <v>87860</v>
      </c>
    </row>
    <row r="74" spans="1:24" ht="21.75">
      <c r="A74" s="235">
        <v>330900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>
        <f t="shared" si="6"/>
        <v>0</v>
      </c>
    </row>
    <row r="75" spans="1:24" ht="21.75">
      <c r="A75" s="235">
        <v>331000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>
        <f t="shared" si="6"/>
        <v>0</v>
      </c>
    </row>
    <row r="76" spans="1:24" ht="21.75">
      <c r="A76" s="235">
        <v>331100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>
        <f aca="true" t="shared" si="7" ref="X76:X81">SUM(B76:W76)</f>
        <v>0</v>
      </c>
    </row>
    <row r="77" spans="1:24" ht="21.75">
      <c r="A77" s="235">
        <v>331200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>
        <f t="shared" si="7"/>
        <v>0</v>
      </c>
    </row>
    <row r="78" spans="1:24" ht="21.75">
      <c r="A78" s="235">
        <v>331300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>
        <f t="shared" si="7"/>
        <v>0</v>
      </c>
    </row>
    <row r="79" spans="1:24" ht="21.75">
      <c r="A79" s="235">
        <v>331400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>
        <f t="shared" si="7"/>
        <v>0</v>
      </c>
    </row>
    <row r="80" spans="1:24" ht="21.75">
      <c r="A80" s="235">
        <v>331500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>
        <f t="shared" si="7"/>
        <v>0</v>
      </c>
    </row>
    <row r="81" spans="1:24" ht="21.75">
      <c r="A81" s="235">
        <v>331700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>
        <f t="shared" si="7"/>
        <v>0</v>
      </c>
    </row>
    <row r="82" spans="1:24" ht="21.75">
      <c r="A82" s="235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</row>
    <row r="83" spans="1:24" ht="21.75">
      <c r="A83" s="237" t="s">
        <v>291</v>
      </c>
      <c r="B83" s="238">
        <f aca="true" t="shared" si="8" ref="B83:G83">SUM(B67:B81)</f>
        <v>9200</v>
      </c>
      <c r="C83" s="238">
        <f t="shared" si="8"/>
        <v>4000</v>
      </c>
      <c r="D83" s="238">
        <f t="shared" si="8"/>
        <v>0</v>
      </c>
      <c r="E83" s="238">
        <f t="shared" si="8"/>
        <v>0</v>
      </c>
      <c r="F83" s="238">
        <f t="shared" si="8"/>
        <v>37369</v>
      </c>
      <c r="G83" s="238">
        <f t="shared" si="8"/>
        <v>506818.69</v>
      </c>
      <c r="H83" s="238">
        <f>SUM(H67:H81)</f>
        <v>0</v>
      </c>
      <c r="I83" s="238">
        <f>SUM(I67:I81)</f>
        <v>3500</v>
      </c>
      <c r="J83" s="238">
        <f>SUM(J67:J81)</f>
        <v>0</v>
      </c>
      <c r="K83" s="238">
        <f>SUM(K67:K81)</f>
        <v>71360</v>
      </c>
      <c r="L83" s="238">
        <f>SUM(L67:L81)</f>
        <v>0</v>
      </c>
      <c r="M83" s="238" t="s">
        <v>147</v>
      </c>
      <c r="N83" s="238" t="s">
        <v>147</v>
      </c>
      <c r="O83" s="238" t="s">
        <v>147</v>
      </c>
      <c r="P83" s="238" t="s">
        <v>147</v>
      </c>
      <c r="Q83" s="238" t="s">
        <v>147</v>
      </c>
      <c r="R83" s="238" t="s">
        <v>147</v>
      </c>
      <c r="S83" s="238">
        <f>SUM(S67:S81)</f>
        <v>8100</v>
      </c>
      <c r="T83" s="238" t="s">
        <v>147</v>
      </c>
      <c r="U83" s="238">
        <f>SUM(U67:U81)</f>
        <v>0</v>
      </c>
      <c r="V83" s="238" t="s">
        <v>147</v>
      </c>
      <c r="W83" s="238" t="s">
        <v>147</v>
      </c>
      <c r="X83" s="238">
        <f>SUM(B83:W83)</f>
        <v>640347.69</v>
      </c>
    </row>
    <row r="84" spans="1:24" ht="21.75">
      <c r="A84" s="240" t="s">
        <v>292</v>
      </c>
      <c r="B84" s="241">
        <f>SUM(256273+7200+9200)</f>
        <v>272673</v>
      </c>
      <c r="C84" s="241">
        <f>SUM(38592+11215+4000)</f>
        <v>53807</v>
      </c>
      <c r="D84" s="241" t="s">
        <v>147</v>
      </c>
      <c r="E84" s="241" t="s">
        <v>147</v>
      </c>
      <c r="F84" s="241">
        <f>SUM(25871+37369)</f>
        <v>63240</v>
      </c>
      <c r="G84" s="241">
        <f>SUM(222695.2+242276.4+506818.69)</f>
        <v>971790.29</v>
      </c>
      <c r="H84" s="241">
        <v>10516</v>
      </c>
      <c r="I84" s="241">
        <f>SUM(27477+1500+3500)</f>
        <v>32477</v>
      </c>
      <c r="J84" s="241" t="s">
        <v>147</v>
      </c>
      <c r="K84" s="241">
        <f>SUM(468857+79360+71360)</f>
        <v>619577</v>
      </c>
      <c r="L84" s="241">
        <v>98926</v>
      </c>
      <c r="M84" s="241" t="s">
        <v>147</v>
      </c>
      <c r="N84" s="241" t="s">
        <v>147</v>
      </c>
      <c r="O84" s="241" t="s">
        <v>147</v>
      </c>
      <c r="P84" s="241" t="s">
        <v>147</v>
      </c>
      <c r="Q84" s="241" t="s">
        <v>147</v>
      </c>
      <c r="R84" s="241" t="s">
        <v>147</v>
      </c>
      <c r="S84" s="241">
        <f>SUM(185499+11300+8100)</f>
        <v>204899</v>
      </c>
      <c r="T84" s="241" t="s">
        <v>147</v>
      </c>
      <c r="U84" s="241">
        <f>SUM(24928+900)</f>
        <v>25828</v>
      </c>
      <c r="V84" s="241" t="s">
        <v>147</v>
      </c>
      <c r="W84" s="241" t="s">
        <v>147</v>
      </c>
      <c r="X84" s="241">
        <f>SUM(B84:W84)</f>
        <v>2353733.29</v>
      </c>
    </row>
    <row r="85" spans="1:24" ht="21.75">
      <c r="A85" s="229" t="s">
        <v>267</v>
      </c>
      <c r="B85" s="334" t="s">
        <v>213</v>
      </c>
      <c r="C85" s="334"/>
      <c r="D85" s="335" t="s">
        <v>214</v>
      </c>
      <c r="E85" s="336"/>
      <c r="F85" s="334" t="s">
        <v>215</v>
      </c>
      <c r="G85" s="334"/>
      <c r="H85" s="229" t="s">
        <v>216</v>
      </c>
      <c r="I85" s="334" t="s">
        <v>217</v>
      </c>
      <c r="J85" s="334"/>
      <c r="K85" s="335" t="s">
        <v>218</v>
      </c>
      <c r="L85" s="337"/>
      <c r="M85" s="336"/>
      <c r="N85" s="229" t="s">
        <v>219</v>
      </c>
      <c r="O85" s="335" t="s">
        <v>220</v>
      </c>
      <c r="P85" s="337"/>
      <c r="Q85" s="337"/>
      <c r="R85" s="336"/>
      <c r="S85" s="334" t="s">
        <v>221</v>
      </c>
      <c r="T85" s="334"/>
      <c r="U85" s="229" t="s">
        <v>268</v>
      </c>
      <c r="V85" s="229" t="s">
        <v>223</v>
      </c>
      <c r="W85" s="229" t="s">
        <v>224</v>
      </c>
      <c r="X85" s="229" t="s">
        <v>18</v>
      </c>
    </row>
    <row r="86" spans="1:24" ht="21.75">
      <c r="A86" s="229" t="s">
        <v>78</v>
      </c>
      <c r="B86" s="229" t="s">
        <v>269</v>
      </c>
      <c r="C86" s="229" t="s">
        <v>270</v>
      </c>
      <c r="D86" s="229" t="s">
        <v>271</v>
      </c>
      <c r="E86" s="229" t="s">
        <v>272</v>
      </c>
      <c r="F86" s="229" t="s">
        <v>273</v>
      </c>
      <c r="G86" s="229" t="s">
        <v>274</v>
      </c>
      <c r="H86" s="229" t="s">
        <v>275</v>
      </c>
      <c r="I86" s="229" t="s">
        <v>276</v>
      </c>
      <c r="J86" s="229" t="s">
        <v>277</v>
      </c>
      <c r="K86" s="229" t="s">
        <v>278</v>
      </c>
      <c r="L86" s="229" t="s">
        <v>279</v>
      </c>
      <c r="M86" s="229" t="s">
        <v>280</v>
      </c>
      <c r="N86" s="229" t="s">
        <v>281</v>
      </c>
      <c r="O86" s="229" t="s">
        <v>282</v>
      </c>
      <c r="P86" s="229" t="s">
        <v>283</v>
      </c>
      <c r="Q86" s="229" t="s">
        <v>284</v>
      </c>
      <c r="R86" s="229" t="s">
        <v>285</v>
      </c>
      <c r="S86" s="229" t="s">
        <v>286</v>
      </c>
      <c r="T86" s="229" t="s">
        <v>287</v>
      </c>
      <c r="U86" s="229" t="s">
        <v>288</v>
      </c>
      <c r="V86" s="229" t="s">
        <v>289</v>
      </c>
      <c r="W86" s="229" t="s">
        <v>290</v>
      </c>
      <c r="X86" s="229"/>
    </row>
    <row r="87" spans="1:24" ht="21.75">
      <c r="A87" s="233">
        <v>534000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</row>
    <row r="88" spans="1:24" ht="21.75">
      <c r="A88" s="235">
        <v>340100</v>
      </c>
      <c r="B88" s="234">
        <v>38901.22</v>
      </c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>
        <f aca="true" t="shared" si="9" ref="X88:X93">SUM(B88:W88)</f>
        <v>38901.22</v>
      </c>
    </row>
    <row r="89" spans="1:24" ht="21.75">
      <c r="A89" s="235">
        <v>340200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>
        <f t="shared" si="9"/>
        <v>0</v>
      </c>
    </row>
    <row r="90" spans="1:24" ht="21.75">
      <c r="A90" s="235">
        <v>340300</v>
      </c>
      <c r="B90" s="234">
        <v>2011.6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>
        <f t="shared" si="9"/>
        <v>2011.6</v>
      </c>
    </row>
    <row r="91" spans="1:24" ht="21.75">
      <c r="A91" s="235">
        <v>340400</v>
      </c>
      <c r="B91" s="234">
        <v>1003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>
        <f t="shared" si="9"/>
        <v>1003</v>
      </c>
    </row>
    <row r="92" spans="1:24" ht="21.75">
      <c r="A92" s="235">
        <v>340500</v>
      </c>
      <c r="B92" s="234">
        <v>4494</v>
      </c>
      <c r="C92" s="234">
        <v>738.3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>
        <v>631.3</v>
      </c>
      <c r="V92" s="234"/>
      <c r="W92" s="234"/>
      <c r="X92" s="234">
        <f t="shared" si="9"/>
        <v>5863.6</v>
      </c>
    </row>
    <row r="93" spans="1:24" ht="21.75">
      <c r="A93" s="237" t="s">
        <v>291</v>
      </c>
      <c r="B93" s="238">
        <f>SUM(B88:B92)</f>
        <v>46409.82</v>
      </c>
      <c r="C93" s="238">
        <f>SUM(C88:C92)</f>
        <v>738.3</v>
      </c>
      <c r="D93" s="238" t="s">
        <v>147</v>
      </c>
      <c r="E93" s="238" t="s">
        <v>147</v>
      </c>
      <c r="F93" s="238" t="s">
        <v>147</v>
      </c>
      <c r="G93" s="238" t="s">
        <v>147</v>
      </c>
      <c r="H93" s="238" t="s">
        <v>147</v>
      </c>
      <c r="I93" s="238" t="s">
        <v>147</v>
      </c>
      <c r="J93" s="238" t="s">
        <v>147</v>
      </c>
      <c r="K93" s="238" t="s">
        <v>147</v>
      </c>
      <c r="L93" s="238" t="s">
        <v>147</v>
      </c>
      <c r="M93" s="238" t="s">
        <v>147</v>
      </c>
      <c r="N93" s="238" t="s">
        <v>147</v>
      </c>
      <c r="O93" s="238" t="s">
        <v>147</v>
      </c>
      <c r="P93" s="238" t="s">
        <v>147</v>
      </c>
      <c r="Q93" s="238" t="s">
        <v>147</v>
      </c>
      <c r="R93" s="238" t="s">
        <v>147</v>
      </c>
      <c r="S93" s="238" t="s">
        <v>147</v>
      </c>
      <c r="T93" s="238" t="s">
        <v>147</v>
      </c>
      <c r="U93" s="238">
        <f>SUM(U88:U92)</f>
        <v>631.3</v>
      </c>
      <c r="V93" s="238" t="s">
        <v>147</v>
      </c>
      <c r="W93" s="238" t="s">
        <v>147</v>
      </c>
      <c r="X93" s="238">
        <f t="shared" si="9"/>
        <v>47779.420000000006</v>
      </c>
    </row>
    <row r="94" spans="1:24" ht="21.75">
      <c r="A94" s="240" t="s">
        <v>292</v>
      </c>
      <c r="B94" s="241">
        <f>SUM(220224.7+48243.24+46409.82)</f>
        <v>314877.76</v>
      </c>
      <c r="C94" s="241">
        <f>SUM(11350.98+2022.3+738.3)</f>
        <v>14111.579999999998</v>
      </c>
      <c r="D94" s="241" t="s">
        <v>147</v>
      </c>
      <c r="E94" s="241" t="s">
        <v>147</v>
      </c>
      <c r="F94" s="241" t="s">
        <v>147</v>
      </c>
      <c r="G94" s="241" t="s">
        <v>147</v>
      </c>
      <c r="H94" s="241" t="s">
        <v>147</v>
      </c>
      <c r="I94" s="241" t="s">
        <v>147</v>
      </c>
      <c r="J94" s="241" t="s">
        <v>147</v>
      </c>
      <c r="K94" s="241" t="s">
        <v>147</v>
      </c>
      <c r="L94" s="241" t="s">
        <v>147</v>
      </c>
      <c r="M94" s="241" t="s">
        <v>147</v>
      </c>
      <c r="N94" s="241" t="s">
        <v>147</v>
      </c>
      <c r="O94" s="241" t="s">
        <v>147</v>
      </c>
      <c r="P94" s="241" t="s">
        <v>147</v>
      </c>
      <c r="Q94" s="241" t="s">
        <v>147</v>
      </c>
      <c r="R94" s="241" t="s">
        <v>147</v>
      </c>
      <c r="S94" s="241" t="s">
        <v>147</v>
      </c>
      <c r="T94" s="241" t="s">
        <v>147</v>
      </c>
      <c r="U94" s="241">
        <f>SUM(3543.42+631.3+631.3)</f>
        <v>4806.02</v>
      </c>
      <c r="V94" s="241" t="s">
        <v>147</v>
      </c>
      <c r="W94" s="241" t="s">
        <v>147</v>
      </c>
      <c r="X94" s="241">
        <f>SUM(B94:W94)</f>
        <v>333795.36000000004</v>
      </c>
    </row>
    <row r="95" spans="1:24" ht="21.75">
      <c r="A95" s="233">
        <v>541000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</row>
    <row r="96" spans="1:24" ht="21.75">
      <c r="A96" s="257">
        <v>410100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</row>
    <row r="97" spans="1:24" ht="21.75">
      <c r="A97" s="257">
        <v>410200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</row>
    <row r="98" spans="1:24" ht="21.75">
      <c r="A98" s="257">
        <v>410300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</row>
    <row r="99" spans="1:24" ht="21.75">
      <c r="A99" s="257">
        <v>410500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</row>
    <row r="100" spans="1:24" ht="21.75">
      <c r="A100" s="257">
        <v>410600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</row>
    <row r="101" spans="1:24" ht="21.75">
      <c r="A101" s="257">
        <v>410700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</row>
    <row r="102" spans="1:24" ht="21.75">
      <c r="A102" s="257">
        <v>411000</v>
      </c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>
        <f aca="true" t="shared" si="10" ref="X102:X107">SUM(B102:W102)</f>
        <v>0</v>
      </c>
    </row>
    <row r="103" spans="1:24" ht="21.75">
      <c r="A103" s="257">
        <v>411200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>
        <f t="shared" si="10"/>
        <v>0</v>
      </c>
    </row>
    <row r="104" spans="1:24" ht="21.75">
      <c r="A104" s="257">
        <v>411300</v>
      </c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>
        <f t="shared" si="10"/>
        <v>0</v>
      </c>
    </row>
    <row r="105" spans="1:24" ht="21.75">
      <c r="A105" s="257">
        <v>411600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>
        <f>SUM(B105:W105)</f>
        <v>0</v>
      </c>
    </row>
    <row r="106" spans="1:24" ht="21.75">
      <c r="A106" s="257">
        <v>411700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>
        <f>SUM(B106:W106)</f>
        <v>0</v>
      </c>
    </row>
    <row r="107" spans="1:24" ht="21.75">
      <c r="A107" s="257">
        <v>411800</v>
      </c>
      <c r="B107" s="234"/>
      <c r="C107" s="234"/>
      <c r="D107" s="234"/>
      <c r="E107" s="234"/>
      <c r="F107" s="234"/>
      <c r="G107" s="234"/>
      <c r="H107" s="234">
        <v>9965</v>
      </c>
      <c r="I107" s="234">
        <v>10414.31</v>
      </c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>
        <f t="shared" si="10"/>
        <v>20379.309999999998</v>
      </c>
    </row>
    <row r="108" spans="1:24" ht="21.75">
      <c r="A108" s="257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</row>
    <row r="109" spans="1:24" ht="21.75">
      <c r="A109" s="257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</row>
    <row r="110" spans="1:24" ht="21.75">
      <c r="A110" s="257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</row>
    <row r="111" spans="1:24" ht="21.75">
      <c r="A111" s="237" t="s">
        <v>291</v>
      </c>
      <c r="B111" s="238">
        <f>SUM(B102:B107)</f>
        <v>0</v>
      </c>
      <c r="C111" s="238">
        <f>SUM(C102:C107)</f>
        <v>0</v>
      </c>
      <c r="D111" s="238" t="s">
        <v>147</v>
      </c>
      <c r="E111" s="238" t="s">
        <v>147</v>
      </c>
      <c r="F111" s="238">
        <f>SUM(F102:F107)</f>
        <v>0</v>
      </c>
      <c r="G111" s="238" t="s">
        <v>147</v>
      </c>
      <c r="H111" s="238">
        <f>SUM(H102:H107)</f>
        <v>9965</v>
      </c>
      <c r="I111" s="238">
        <f>SUM(I96:I107)</f>
        <v>10414.31</v>
      </c>
      <c r="J111" s="238" t="s">
        <v>147</v>
      </c>
      <c r="K111" s="238" t="s">
        <v>147</v>
      </c>
      <c r="L111" s="238" t="s">
        <v>147</v>
      </c>
      <c r="M111" s="238" t="s">
        <v>147</v>
      </c>
      <c r="N111" s="238">
        <f>SUM(N102:N107)</f>
        <v>0</v>
      </c>
      <c r="O111" s="238" t="s">
        <v>147</v>
      </c>
      <c r="P111" s="238" t="s">
        <v>147</v>
      </c>
      <c r="Q111" s="238" t="s">
        <v>147</v>
      </c>
      <c r="R111" s="238" t="s">
        <v>147</v>
      </c>
      <c r="S111" s="238">
        <f>SUM(S96:S107)</f>
        <v>0</v>
      </c>
      <c r="T111" s="238" t="s">
        <v>147</v>
      </c>
      <c r="U111" s="238" t="s">
        <v>147</v>
      </c>
      <c r="V111" s="238" t="s">
        <v>147</v>
      </c>
      <c r="W111" s="238" t="s">
        <v>147</v>
      </c>
      <c r="X111" s="238">
        <f>SUM(B111:W111)</f>
        <v>20379.309999999998</v>
      </c>
    </row>
    <row r="112" spans="1:24" ht="21.75">
      <c r="A112" s="240" t="s">
        <v>292</v>
      </c>
      <c r="B112" s="241">
        <v>30271</v>
      </c>
      <c r="C112" s="241">
        <f>SUM(15480+21353.99)</f>
        <v>36833.990000000005</v>
      </c>
      <c r="D112" s="241" t="s">
        <v>147</v>
      </c>
      <c r="E112" s="241" t="s">
        <v>147</v>
      </c>
      <c r="F112" s="241" t="s">
        <v>147</v>
      </c>
      <c r="G112" s="241" t="s">
        <v>147</v>
      </c>
      <c r="H112" s="241">
        <f>SUM(77460+9965)</f>
        <v>87425</v>
      </c>
      <c r="I112" s="241">
        <f>SUM(1232400+10414.31)</f>
        <v>1242814.31</v>
      </c>
      <c r="J112" s="241" t="s">
        <v>147</v>
      </c>
      <c r="K112" s="241" t="s">
        <v>147</v>
      </c>
      <c r="L112" s="241" t="s">
        <v>147</v>
      </c>
      <c r="M112" s="241" t="s">
        <v>147</v>
      </c>
      <c r="N112" s="241" t="s">
        <v>147</v>
      </c>
      <c r="O112" s="241" t="s">
        <v>147</v>
      </c>
      <c r="P112" s="241" t="s">
        <v>147</v>
      </c>
      <c r="Q112" s="241" t="s">
        <v>147</v>
      </c>
      <c r="R112" s="241" t="s">
        <v>147</v>
      </c>
      <c r="S112" s="241">
        <v>25000</v>
      </c>
      <c r="T112" s="241" t="s">
        <v>147</v>
      </c>
      <c r="U112" s="241" t="s">
        <v>147</v>
      </c>
      <c r="V112" s="241" t="s">
        <v>147</v>
      </c>
      <c r="W112" s="241" t="s">
        <v>147</v>
      </c>
      <c r="X112" s="241">
        <f>SUM(B112:W112)</f>
        <v>1422344.3</v>
      </c>
    </row>
    <row r="113" spans="1:24" ht="21.75">
      <c r="A113" s="229" t="s">
        <v>267</v>
      </c>
      <c r="B113" s="334" t="s">
        <v>213</v>
      </c>
      <c r="C113" s="334"/>
      <c r="D113" s="335" t="s">
        <v>214</v>
      </c>
      <c r="E113" s="336"/>
      <c r="F113" s="334" t="s">
        <v>215</v>
      </c>
      <c r="G113" s="334"/>
      <c r="H113" s="229" t="s">
        <v>216</v>
      </c>
      <c r="I113" s="334" t="s">
        <v>217</v>
      </c>
      <c r="J113" s="334"/>
      <c r="K113" s="335" t="s">
        <v>218</v>
      </c>
      <c r="L113" s="337"/>
      <c r="M113" s="336"/>
      <c r="N113" s="229" t="s">
        <v>219</v>
      </c>
      <c r="O113" s="335" t="s">
        <v>220</v>
      </c>
      <c r="P113" s="337"/>
      <c r="Q113" s="337"/>
      <c r="R113" s="336"/>
      <c r="S113" s="334" t="s">
        <v>221</v>
      </c>
      <c r="T113" s="334"/>
      <c r="U113" s="229" t="s">
        <v>268</v>
      </c>
      <c r="V113" s="229" t="s">
        <v>223</v>
      </c>
      <c r="W113" s="229" t="s">
        <v>224</v>
      </c>
      <c r="X113" s="229" t="s">
        <v>18</v>
      </c>
    </row>
    <row r="114" spans="1:24" ht="21.75">
      <c r="A114" s="229" t="s">
        <v>78</v>
      </c>
      <c r="B114" s="229" t="s">
        <v>269</v>
      </c>
      <c r="C114" s="229" t="s">
        <v>270</v>
      </c>
      <c r="D114" s="229" t="s">
        <v>271</v>
      </c>
      <c r="E114" s="229" t="s">
        <v>272</v>
      </c>
      <c r="F114" s="229" t="s">
        <v>273</v>
      </c>
      <c r="G114" s="229" t="s">
        <v>274</v>
      </c>
      <c r="H114" s="229" t="s">
        <v>275</v>
      </c>
      <c r="I114" s="229" t="s">
        <v>276</v>
      </c>
      <c r="J114" s="229" t="s">
        <v>277</v>
      </c>
      <c r="K114" s="229" t="s">
        <v>278</v>
      </c>
      <c r="L114" s="229" t="s">
        <v>279</v>
      </c>
      <c r="M114" s="229" t="s">
        <v>280</v>
      </c>
      <c r="N114" s="229" t="s">
        <v>281</v>
      </c>
      <c r="O114" s="229" t="s">
        <v>282</v>
      </c>
      <c r="P114" s="229" t="s">
        <v>283</v>
      </c>
      <c r="Q114" s="229" t="s">
        <v>284</v>
      </c>
      <c r="R114" s="229" t="s">
        <v>285</v>
      </c>
      <c r="S114" s="229" t="s">
        <v>286</v>
      </c>
      <c r="T114" s="229" t="s">
        <v>287</v>
      </c>
      <c r="U114" s="229" t="s">
        <v>288</v>
      </c>
      <c r="V114" s="229" t="s">
        <v>289</v>
      </c>
      <c r="W114" s="229" t="s">
        <v>290</v>
      </c>
      <c r="X114" s="229"/>
    </row>
    <row r="115" spans="1:24" ht="21.75">
      <c r="A115" s="233">
        <v>542000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</row>
    <row r="116" spans="1:24" ht="21.75">
      <c r="A116" s="257">
        <v>420000</v>
      </c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>
        <f aca="true" t="shared" si="11" ref="X116:X123">SUM(B116:W116)</f>
        <v>0</v>
      </c>
    </row>
    <row r="117" spans="1:24" ht="21.75">
      <c r="A117" s="235">
        <v>420100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>
        <v>0</v>
      </c>
      <c r="X117" s="234">
        <f t="shared" si="11"/>
        <v>0</v>
      </c>
    </row>
    <row r="118" spans="1:24" ht="21.75">
      <c r="A118" s="235">
        <v>420200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>
        <v>0</v>
      </c>
      <c r="X118" s="234">
        <f t="shared" si="11"/>
        <v>0</v>
      </c>
    </row>
    <row r="119" spans="1:24" ht="21.75">
      <c r="A119" s="235">
        <v>420300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>
        <f t="shared" si="11"/>
        <v>0</v>
      </c>
    </row>
    <row r="120" spans="1:24" ht="21.75">
      <c r="A120" s="235">
        <v>420700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>
        <v>0</v>
      </c>
      <c r="X120" s="234">
        <f t="shared" si="11"/>
        <v>0</v>
      </c>
    </row>
    <row r="121" spans="1:24" ht="21.75">
      <c r="A121" s="235">
        <v>420800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>
        <f t="shared" si="11"/>
        <v>0</v>
      </c>
    </row>
    <row r="122" spans="1:24" ht="21.75">
      <c r="A122" s="235">
        <v>420900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>
        <f>SUM(742000+475000+742000)</f>
        <v>1959000</v>
      </c>
      <c r="U122" s="234"/>
      <c r="V122" s="234"/>
      <c r="W122" s="234">
        <v>0</v>
      </c>
      <c r="X122" s="234">
        <f t="shared" si="11"/>
        <v>1959000</v>
      </c>
    </row>
    <row r="123" spans="1:24" ht="21.75">
      <c r="A123" s="235">
        <v>421000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>
        <f t="shared" si="11"/>
        <v>0</v>
      </c>
    </row>
    <row r="124" spans="1:24" ht="21.75">
      <c r="A124" s="237" t="s">
        <v>291</v>
      </c>
      <c r="B124" s="238" t="s">
        <v>147</v>
      </c>
      <c r="C124" s="238" t="s">
        <v>147</v>
      </c>
      <c r="D124" s="238" t="s">
        <v>147</v>
      </c>
      <c r="E124" s="238" t="s">
        <v>147</v>
      </c>
      <c r="F124" s="238" t="s">
        <v>147</v>
      </c>
      <c r="G124" s="238">
        <f>SUM(G116:G123)</f>
        <v>0</v>
      </c>
      <c r="H124" s="238" t="s">
        <v>147</v>
      </c>
      <c r="I124" s="238" t="s">
        <v>147</v>
      </c>
      <c r="J124" s="238" t="s">
        <v>147</v>
      </c>
      <c r="K124" s="238" t="s">
        <v>147</v>
      </c>
      <c r="L124" s="238">
        <f>SUM(L116:L123)</f>
        <v>0</v>
      </c>
      <c r="M124" s="238" t="s">
        <v>147</v>
      </c>
      <c r="N124" s="238" t="s">
        <v>147</v>
      </c>
      <c r="O124" s="238" t="s">
        <v>147</v>
      </c>
      <c r="P124" s="238" t="s">
        <v>147</v>
      </c>
      <c r="Q124" s="238" t="s">
        <v>147</v>
      </c>
      <c r="R124" s="238" t="s">
        <v>147</v>
      </c>
      <c r="S124" s="238" t="s">
        <v>147</v>
      </c>
      <c r="T124" s="238">
        <f>SUM(T116:T123)</f>
        <v>1959000</v>
      </c>
      <c r="U124" s="238">
        <f>SUM(U116:U123)</f>
        <v>0</v>
      </c>
      <c r="V124" s="238" t="s">
        <v>147</v>
      </c>
      <c r="W124" s="238" t="s">
        <v>147</v>
      </c>
      <c r="X124" s="238">
        <f>SUM(B124:W124)</f>
        <v>1959000</v>
      </c>
    </row>
    <row r="125" spans="1:24" ht="21.75">
      <c r="A125" s="258" t="s">
        <v>292</v>
      </c>
      <c r="B125" s="259" t="s">
        <v>147</v>
      </c>
      <c r="C125" s="259" t="s">
        <v>147</v>
      </c>
      <c r="D125" s="259" t="s">
        <v>147</v>
      </c>
      <c r="E125" s="259" t="s">
        <v>147</v>
      </c>
      <c r="F125" s="259" t="s">
        <v>147</v>
      </c>
      <c r="G125" s="259" t="s">
        <v>147</v>
      </c>
      <c r="H125" s="259" t="s">
        <v>147</v>
      </c>
      <c r="I125" s="259" t="s">
        <v>147</v>
      </c>
      <c r="J125" s="259" t="s">
        <v>147</v>
      </c>
      <c r="K125" s="259" t="s">
        <v>147</v>
      </c>
      <c r="L125" s="259" t="s">
        <v>147</v>
      </c>
      <c r="M125" s="259" t="s">
        <v>147</v>
      </c>
      <c r="N125" s="259" t="s">
        <v>147</v>
      </c>
      <c r="O125" s="259" t="s">
        <v>147</v>
      </c>
      <c r="P125" s="259" t="s">
        <v>147</v>
      </c>
      <c r="Q125" s="259" t="s">
        <v>147</v>
      </c>
      <c r="R125" s="259" t="s">
        <v>147</v>
      </c>
      <c r="S125" s="259" t="s">
        <v>147</v>
      </c>
      <c r="T125" s="260">
        <f>SUM(1959000)</f>
        <v>1959000</v>
      </c>
      <c r="U125" s="259" t="s">
        <v>147</v>
      </c>
      <c r="V125" s="259" t="s">
        <v>147</v>
      </c>
      <c r="W125" s="259" t="s">
        <v>147</v>
      </c>
      <c r="X125" s="259">
        <f>SUM(B125:W125)</f>
        <v>1959000</v>
      </c>
    </row>
    <row r="126" spans="1:24" ht="21.75">
      <c r="A126" s="233">
        <v>551000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</row>
    <row r="127" spans="1:24" ht="21.75">
      <c r="A127" s="246">
        <v>510200</v>
      </c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</row>
    <row r="128" spans="1:24" ht="21.75">
      <c r="A128" s="237" t="s">
        <v>291</v>
      </c>
      <c r="B128" s="238" t="s">
        <v>147</v>
      </c>
      <c r="C128" s="238" t="s">
        <v>147</v>
      </c>
      <c r="D128" s="238" t="s">
        <v>147</v>
      </c>
      <c r="E128" s="238" t="s">
        <v>147</v>
      </c>
      <c r="F128" s="238" t="s">
        <v>147</v>
      </c>
      <c r="G128" s="238" t="s">
        <v>147</v>
      </c>
      <c r="H128" s="238" t="s">
        <v>147</v>
      </c>
      <c r="I128" s="238" t="s">
        <v>147</v>
      </c>
      <c r="J128" s="238" t="s">
        <v>147</v>
      </c>
      <c r="K128" s="238" t="s">
        <v>147</v>
      </c>
      <c r="L128" s="238" t="s">
        <v>147</v>
      </c>
      <c r="M128" s="238" t="s">
        <v>147</v>
      </c>
      <c r="N128" s="238" t="s">
        <v>147</v>
      </c>
      <c r="O128" s="238" t="s">
        <v>147</v>
      </c>
      <c r="P128" s="238" t="s">
        <v>147</v>
      </c>
      <c r="Q128" s="238" t="s">
        <v>147</v>
      </c>
      <c r="R128" s="238" t="s">
        <v>147</v>
      </c>
      <c r="S128" s="238" t="s">
        <v>147</v>
      </c>
      <c r="T128" s="238" t="s">
        <v>147</v>
      </c>
      <c r="U128" s="238" t="s">
        <v>147</v>
      </c>
      <c r="V128" s="238" t="s">
        <v>147</v>
      </c>
      <c r="W128" s="238" t="s">
        <v>147</v>
      </c>
      <c r="X128" s="238">
        <f>SUM(B128:W128)</f>
        <v>0</v>
      </c>
    </row>
    <row r="129" spans="1:24" ht="21.75">
      <c r="A129" s="240" t="s">
        <v>292</v>
      </c>
      <c r="B129" s="241" t="s">
        <v>147</v>
      </c>
      <c r="C129" s="241" t="s">
        <v>147</v>
      </c>
      <c r="D129" s="241" t="s">
        <v>147</v>
      </c>
      <c r="E129" s="241" t="s">
        <v>147</v>
      </c>
      <c r="F129" s="241" t="s">
        <v>147</v>
      </c>
      <c r="G129" s="241" t="s">
        <v>147</v>
      </c>
      <c r="H129" s="241" t="s">
        <v>147</v>
      </c>
      <c r="I129" s="241" t="s">
        <v>147</v>
      </c>
      <c r="J129" s="241" t="s">
        <v>147</v>
      </c>
      <c r="K129" s="241" t="s">
        <v>147</v>
      </c>
      <c r="L129" s="241" t="s">
        <v>147</v>
      </c>
      <c r="M129" s="241" t="s">
        <v>147</v>
      </c>
      <c r="N129" s="241" t="s">
        <v>147</v>
      </c>
      <c r="O129" s="241" t="s">
        <v>147</v>
      </c>
      <c r="P129" s="241" t="s">
        <v>147</v>
      </c>
      <c r="Q129" s="241" t="s">
        <v>147</v>
      </c>
      <c r="R129" s="241" t="s">
        <v>147</v>
      </c>
      <c r="S129" s="241" t="s">
        <v>147</v>
      </c>
      <c r="T129" s="241" t="s">
        <v>147</v>
      </c>
      <c r="U129" s="241" t="s">
        <v>147</v>
      </c>
      <c r="V129" s="241" t="s">
        <v>147</v>
      </c>
      <c r="W129" s="241" t="s">
        <v>147</v>
      </c>
      <c r="X129" s="241">
        <f>SUM(B129:W129)</f>
        <v>0</v>
      </c>
    </row>
    <row r="130" spans="1:24" ht="21.75">
      <c r="A130" s="233">
        <v>561000</v>
      </c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</row>
    <row r="131" spans="1:24" ht="21.75">
      <c r="A131" s="235">
        <v>610100</v>
      </c>
      <c r="B131" s="262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>
        <f aca="true" t="shared" si="12" ref="X131:X136">SUM(B131:W131)</f>
        <v>0</v>
      </c>
    </row>
    <row r="132" spans="1:24" ht="21.75">
      <c r="A132" s="235">
        <v>610200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>
        <f t="shared" si="12"/>
        <v>0</v>
      </c>
    </row>
    <row r="133" spans="1:24" ht="21.75">
      <c r="A133" s="235">
        <v>610300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>
        <f t="shared" si="12"/>
        <v>0</v>
      </c>
    </row>
    <row r="134" spans="1:24" ht="21.75">
      <c r="A134" s="235">
        <v>610400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>
        <f t="shared" si="12"/>
        <v>0</v>
      </c>
    </row>
    <row r="135" spans="1:24" ht="21.75">
      <c r="A135" s="237" t="s">
        <v>291</v>
      </c>
      <c r="B135" s="239">
        <f>SUM(B131:B134)</f>
        <v>0</v>
      </c>
      <c r="C135" s="239" t="s">
        <v>147</v>
      </c>
      <c r="D135" s="239" t="s">
        <v>147</v>
      </c>
      <c r="E135" s="239" t="s">
        <v>147</v>
      </c>
      <c r="F135" s="239" t="s">
        <v>147</v>
      </c>
      <c r="G135" s="239" t="s">
        <v>147</v>
      </c>
      <c r="H135" s="239" t="s">
        <v>147</v>
      </c>
      <c r="I135" s="239" t="s">
        <v>147</v>
      </c>
      <c r="J135" s="239" t="s">
        <v>147</v>
      </c>
      <c r="K135" s="239" t="s">
        <v>147</v>
      </c>
      <c r="L135" s="239" t="s">
        <v>147</v>
      </c>
      <c r="M135" s="239" t="s">
        <v>147</v>
      </c>
      <c r="N135" s="239" t="s">
        <v>147</v>
      </c>
      <c r="O135" s="239">
        <f>SUM(O131:O134)</f>
        <v>0</v>
      </c>
      <c r="P135" s="239">
        <f>SUM(P131:P134)</f>
        <v>0</v>
      </c>
      <c r="Q135" s="239" t="s">
        <v>147</v>
      </c>
      <c r="R135" s="239" t="s">
        <v>147</v>
      </c>
      <c r="S135" s="239" t="s">
        <v>147</v>
      </c>
      <c r="T135" s="239" t="s">
        <v>147</v>
      </c>
      <c r="U135" s="239" t="s">
        <v>147</v>
      </c>
      <c r="V135" s="239" t="s">
        <v>147</v>
      </c>
      <c r="W135" s="239" t="s">
        <v>147</v>
      </c>
      <c r="X135" s="239">
        <f t="shared" si="12"/>
        <v>0</v>
      </c>
    </row>
    <row r="136" spans="1:24" ht="21.75">
      <c r="A136" s="240" t="s">
        <v>292</v>
      </c>
      <c r="B136" s="242" t="s">
        <v>147</v>
      </c>
      <c r="C136" s="242" t="s">
        <v>147</v>
      </c>
      <c r="D136" s="242" t="s">
        <v>147</v>
      </c>
      <c r="E136" s="242" t="s">
        <v>147</v>
      </c>
      <c r="F136" s="242" t="s">
        <v>147</v>
      </c>
      <c r="G136" s="242">
        <v>1840000</v>
      </c>
      <c r="H136" s="242" t="s">
        <v>147</v>
      </c>
      <c r="I136" s="242" t="s">
        <v>147</v>
      </c>
      <c r="J136" s="242" t="s">
        <v>147</v>
      </c>
      <c r="K136" s="242" t="s">
        <v>147</v>
      </c>
      <c r="L136" s="242" t="s">
        <v>147</v>
      </c>
      <c r="M136" s="242" t="s">
        <v>147</v>
      </c>
      <c r="N136" s="242" t="s">
        <v>147</v>
      </c>
      <c r="O136" s="242" t="s">
        <v>147</v>
      </c>
      <c r="P136" s="242" t="s">
        <v>147</v>
      </c>
      <c r="Q136" s="242" t="s">
        <v>147</v>
      </c>
      <c r="R136" s="242" t="s">
        <v>147</v>
      </c>
      <c r="S136" s="242" t="s">
        <v>147</v>
      </c>
      <c r="T136" s="242" t="s">
        <v>147</v>
      </c>
      <c r="U136" s="242" t="s">
        <v>147</v>
      </c>
      <c r="V136" s="263">
        <v>72843.2</v>
      </c>
      <c r="W136" s="242" t="s">
        <v>147</v>
      </c>
      <c r="X136" s="242">
        <f t="shared" si="12"/>
        <v>1912843.2</v>
      </c>
    </row>
    <row r="137" spans="1:24" ht="21.75">
      <c r="A137" s="264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</row>
    <row r="138" spans="1:24" ht="21.75">
      <c r="A138" s="237" t="s">
        <v>291</v>
      </c>
      <c r="B138" s="238">
        <f>SUM(B27,B39,B55,B64,B83,B93,B111)</f>
        <v>759615.0199999999</v>
      </c>
      <c r="C138" s="238">
        <f>SUM(C39,C55,C83,C93)</f>
        <v>122002.3</v>
      </c>
      <c r="D138" s="239">
        <f>SUM(D64)</f>
        <v>6800</v>
      </c>
      <c r="E138" s="266">
        <f>SUM(E55,E64)</f>
        <v>107780</v>
      </c>
      <c r="F138" s="238">
        <f>SUM(F39,F55,F64,F83)</f>
        <v>160894</v>
      </c>
      <c r="G138" s="239">
        <f>SUM(G83)</f>
        <v>506818.69</v>
      </c>
      <c r="H138" s="238">
        <f>SUM(H39,H55,H64,H111)</f>
        <v>140001.6</v>
      </c>
      <c r="I138" s="238">
        <f>SUM(I39,I55,I64,I83,I111)</f>
        <v>73084.31</v>
      </c>
      <c r="J138" s="239">
        <f>SUM(J17,J27,J39,J55,J64,J83,J93,J111,J124,J128,J135)</f>
        <v>0</v>
      </c>
      <c r="K138" s="238">
        <f>SUM(K39,K83)</f>
        <v>253932</v>
      </c>
      <c r="L138" s="239">
        <f>SUM(L17,L27,L39,L55,L64,L83,L93,L111,L124,L128,L135)</f>
        <v>0</v>
      </c>
      <c r="M138" s="239">
        <f>SUM(M17,M27,M39,M55,M64,M83,M93,M111,M124,M128,M135)</f>
        <v>0</v>
      </c>
      <c r="N138" s="239">
        <f>SUM(N64)</f>
        <v>31352</v>
      </c>
      <c r="O138" s="239" t="s">
        <v>147</v>
      </c>
      <c r="P138" s="239" t="s">
        <v>147</v>
      </c>
      <c r="Q138" s="239">
        <f>SUM(Q17,Q27,Q39,Q55,Q64,Q83,Q93,Q111,Q124,Q128,Q135)</f>
        <v>0</v>
      </c>
      <c r="R138" s="239">
        <f>SUM(R17,R27,R39,R55,R64,R83,R93,R111,R124,R128,R135)</f>
        <v>0</v>
      </c>
      <c r="S138" s="238">
        <f>SUM(S39,S55,S64,S83)</f>
        <v>108987.39</v>
      </c>
      <c r="T138" s="239">
        <f>SUM(T17,T27,T39,T55,T64,T83,T93,T111,T124,T128,T135)</f>
        <v>1959000</v>
      </c>
      <c r="U138" s="238">
        <f>SUM(U17,U27,U39,U55,U64,U83,U93,U111,U124,U128,U135)</f>
        <v>181513.3</v>
      </c>
      <c r="V138" s="239">
        <f>SUM(V17,V27,V39,V55,V64,V83,V93,V111,V124,V128,V135)</f>
        <v>0</v>
      </c>
      <c r="W138" s="238">
        <f>SUM(W17)</f>
        <v>52280</v>
      </c>
      <c r="X138" s="238">
        <f>SUM(B138:W138)</f>
        <v>4464060.61</v>
      </c>
    </row>
    <row r="139" spans="1:24" ht="22.5" thickBot="1">
      <c r="A139" s="267" t="s">
        <v>292</v>
      </c>
      <c r="B139" s="268">
        <f>SUM(7100950.02+759615.02)</f>
        <v>7860565.039999999</v>
      </c>
      <c r="C139" s="268">
        <f>SUM(996211.14+122002.3)</f>
        <v>1118213.44</v>
      </c>
      <c r="D139" s="269">
        <f>SUM(125567+6800)</f>
        <v>132367</v>
      </c>
      <c r="E139" s="269">
        <f>SUM(638995+107780)</f>
        <v>746775</v>
      </c>
      <c r="F139" s="268">
        <f>SUM(1075179.75+160894)</f>
        <v>1236073.75</v>
      </c>
      <c r="G139" s="269">
        <f>SUM(2975261.6+506818.69)</f>
        <v>3482080.29</v>
      </c>
      <c r="H139" s="270">
        <f>SUM(1053045.17+140001.6)</f>
        <v>1193046.77</v>
      </c>
      <c r="I139" s="268">
        <f>SUM(1544837+73084.31)</f>
        <v>1617921.31</v>
      </c>
      <c r="J139" s="271" t="s">
        <v>147</v>
      </c>
      <c r="K139" s="268">
        <f>SUM(1811339+253932)</f>
        <v>2065271</v>
      </c>
      <c r="L139" s="269">
        <v>98926</v>
      </c>
      <c r="M139" s="269" t="s">
        <v>147</v>
      </c>
      <c r="N139" s="269">
        <f>SUM(135300+31352)</f>
        <v>166652</v>
      </c>
      <c r="O139" s="269">
        <v>26452</v>
      </c>
      <c r="P139" s="269" t="s">
        <v>147</v>
      </c>
      <c r="Q139" s="269">
        <v>6209</v>
      </c>
      <c r="R139" s="269">
        <v>200000</v>
      </c>
      <c r="S139" s="268">
        <f>SUM(1028980.5+108987.39)</f>
        <v>1137967.89</v>
      </c>
      <c r="T139" s="272">
        <v>1959000</v>
      </c>
      <c r="U139" s="268">
        <f>SUM(541683.72+181513.3)</f>
        <v>723197.02</v>
      </c>
      <c r="V139" s="269">
        <v>72843.2</v>
      </c>
      <c r="W139" s="268">
        <f>SUM(781384+52280)</f>
        <v>833664</v>
      </c>
      <c r="X139" s="273">
        <f>SUM(B139:W139)</f>
        <v>24677224.709999997</v>
      </c>
    </row>
    <row r="140" ht="22.5" thickTop="1"/>
  </sheetData>
  <sheetProtection/>
  <mergeCells count="40">
    <mergeCell ref="A1:X1"/>
    <mergeCell ref="A2:X2"/>
    <mergeCell ref="A3:X3"/>
    <mergeCell ref="B4:C4"/>
    <mergeCell ref="D4:E4"/>
    <mergeCell ref="F4:G4"/>
    <mergeCell ref="I4:J4"/>
    <mergeCell ref="K4:M4"/>
    <mergeCell ref="O4:R4"/>
    <mergeCell ref="S4:T4"/>
    <mergeCell ref="O85:R85"/>
    <mergeCell ref="U4:V4"/>
    <mergeCell ref="B41:C41"/>
    <mergeCell ref="D41:E41"/>
    <mergeCell ref="F41:G41"/>
    <mergeCell ref="I41:J41"/>
    <mergeCell ref="K41:M41"/>
    <mergeCell ref="O41:R41"/>
    <mergeCell ref="S41:T41"/>
    <mergeCell ref="U41:V41"/>
    <mergeCell ref="F57:G57"/>
    <mergeCell ref="I57:J57"/>
    <mergeCell ref="K57:M57"/>
    <mergeCell ref="O57:R57"/>
    <mergeCell ref="S85:T85"/>
    <mergeCell ref="B85:C85"/>
    <mergeCell ref="D85:E85"/>
    <mergeCell ref="F85:G85"/>
    <mergeCell ref="I85:J85"/>
    <mergeCell ref="K85:M85"/>
    <mergeCell ref="S57:T57"/>
    <mergeCell ref="B113:C113"/>
    <mergeCell ref="D113:E113"/>
    <mergeCell ref="F113:G113"/>
    <mergeCell ref="I113:J113"/>
    <mergeCell ref="K113:M113"/>
    <mergeCell ref="O113:R113"/>
    <mergeCell ref="S113:T113"/>
    <mergeCell ref="B57:C57"/>
    <mergeCell ref="D57:E57"/>
  </mergeCells>
  <printOptions/>
  <pageMargins left="0.12" right="0.11" top="0.37" bottom="0.16" header="0.31496062992125984" footer="0.11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42"/>
  <sheetViews>
    <sheetView zoomScale="186" zoomScaleNormal="186" zoomScalePageLayoutView="0" workbookViewId="0" topLeftCell="A31">
      <selection activeCell="C20" sqref="C20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8" t="s">
        <v>71</v>
      </c>
      <c r="B1" s="278"/>
      <c r="C1" s="278"/>
      <c r="D1" s="278"/>
    </row>
    <row r="2" spans="1:4" s="27" customFormat="1" ht="19.5">
      <c r="A2" s="278" t="s">
        <v>77</v>
      </c>
      <c r="B2" s="278"/>
      <c r="C2" s="278"/>
      <c r="D2" s="278"/>
    </row>
    <row r="3" spans="1:4" s="27" customFormat="1" ht="19.5">
      <c r="A3" s="278" t="s">
        <v>316</v>
      </c>
      <c r="B3" s="278"/>
      <c r="C3" s="278"/>
      <c r="D3" s="278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5379480.12</v>
      </c>
      <c r="D6" s="34"/>
    </row>
    <row r="7" spans="1:4" s="27" customFormat="1" ht="19.5">
      <c r="A7" s="32" t="s">
        <v>72</v>
      </c>
      <c r="B7" s="33" t="s">
        <v>20</v>
      </c>
      <c r="C7" s="34">
        <v>11352804.73</v>
      </c>
      <c r="D7" s="34"/>
    </row>
    <row r="8" spans="1:4" s="27" customFormat="1" ht="19.5">
      <c r="A8" s="32" t="s">
        <v>256</v>
      </c>
      <c r="B8" s="33" t="s">
        <v>21</v>
      </c>
      <c r="C8" s="34">
        <v>17075774.58</v>
      </c>
      <c r="D8" s="34"/>
    </row>
    <row r="9" spans="1:4" s="27" customFormat="1" ht="19.5">
      <c r="A9" s="32" t="s">
        <v>238</v>
      </c>
      <c r="B9" s="33" t="s">
        <v>20</v>
      </c>
      <c r="C9" s="34">
        <v>15770674.81</v>
      </c>
      <c r="D9" s="34"/>
    </row>
    <row r="10" spans="1:4" s="27" customFormat="1" ht="19.5">
      <c r="A10" s="32" t="s">
        <v>239</v>
      </c>
      <c r="B10" s="33" t="s">
        <v>20</v>
      </c>
      <c r="C10" s="34">
        <v>431719.84</v>
      </c>
      <c r="D10" s="34"/>
    </row>
    <row r="11" spans="1:4" s="27" customFormat="1" ht="19.5">
      <c r="A11" s="32" t="s">
        <v>236</v>
      </c>
      <c r="B11" s="33" t="s">
        <v>21</v>
      </c>
      <c r="C11" s="34">
        <v>20472761.23</v>
      </c>
      <c r="D11" s="34"/>
    </row>
    <row r="12" spans="1:4" s="27" customFormat="1" ht="19.5">
      <c r="A12" s="32" t="s">
        <v>139</v>
      </c>
      <c r="B12" s="33" t="s">
        <v>187</v>
      </c>
      <c r="C12" s="34">
        <v>60000</v>
      </c>
      <c r="D12" s="34"/>
    </row>
    <row r="13" spans="1:4" s="27" customFormat="1" ht="19.5">
      <c r="A13" s="32" t="s">
        <v>140</v>
      </c>
      <c r="B13" s="33" t="s">
        <v>188</v>
      </c>
      <c r="C13" s="34">
        <v>70008.29</v>
      </c>
      <c r="D13" s="34"/>
    </row>
    <row r="14" spans="1:4" s="27" customFormat="1" ht="19.5">
      <c r="A14" s="32" t="s">
        <v>312</v>
      </c>
      <c r="B14" s="33"/>
      <c r="C14" s="34">
        <v>9</v>
      </c>
      <c r="D14" s="34"/>
    </row>
    <row r="15" spans="1:4" s="27" customFormat="1" ht="19.5">
      <c r="A15" s="32" t="s">
        <v>5</v>
      </c>
      <c r="B15" s="33" t="s">
        <v>69</v>
      </c>
      <c r="C15" s="35">
        <v>9508</v>
      </c>
      <c r="D15" s="34"/>
    </row>
    <row r="16" spans="1:4" s="27" customFormat="1" ht="19.5">
      <c r="A16" s="32" t="s">
        <v>132</v>
      </c>
      <c r="B16" s="33">
        <v>704</v>
      </c>
      <c r="C16" s="35">
        <v>63000</v>
      </c>
      <c r="D16" s="34"/>
    </row>
    <row r="17" spans="1:4" s="27" customFormat="1" ht="19.5">
      <c r="A17" s="32" t="s">
        <v>6</v>
      </c>
      <c r="B17" s="33">
        <v>510000</v>
      </c>
      <c r="C17" s="35">
        <v>8534637</v>
      </c>
      <c r="D17" s="34"/>
    </row>
    <row r="18" spans="1:4" s="27" customFormat="1" ht="19.5">
      <c r="A18" s="32" t="s">
        <v>110</v>
      </c>
      <c r="B18" s="33">
        <v>521000</v>
      </c>
      <c r="C18" s="34">
        <v>3149700</v>
      </c>
      <c r="D18" s="34"/>
    </row>
    <row r="19" spans="1:4" s="27" customFormat="1" ht="19.5">
      <c r="A19" s="32" t="s">
        <v>111</v>
      </c>
      <c r="B19" s="33">
        <v>522000</v>
      </c>
      <c r="C19" s="34">
        <v>10318269</v>
      </c>
      <c r="D19" s="34"/>
    </row>
    <row r="20" spans="1:4" s="27" customFormat="1" ht="19.5">
      <c r="A20" s="32" t="s">
        <v>7</v>
      </c>
      <c r="B20" s="33">
        <v>531000</v>
      </c>
      <c r="C20" s="34">
        <v>876681.25</v>
      </c>
      <c r="D20" s="34"/>
    </row>
    <row r="21" spans="1:4" s="27" customFormat="1" ht="19.5">
      <c r="A21" s="32" t="s">
        <v>8</v>
      </c>
      <c r="B21" s="33">
        <v>532000</v>
      </c>
      <c r="C21" s="34">
        <v>5320207.55</v>
      </c>
      <c r="D21" s="34"/>
    </row>
    <row r="22" spans="1:4" s="27" customFormat="1" ht="19.5">
      <c r="A22" s="32" t="s">
        <v>9</v>
      </c>
      <c r="B22" s="33">
        <v>533000</v>
      </c>
      <c r="C22" s="34">
        <v>3021961.29</v>
      </c>
      <c r="D22" s="34"/>
    </row>
    <row r="23" spans="1:4" s="27" customFormat="1" ht="19.5">
      <c r="A23" s="32" t="s">
        <v>10</v>
      </c>
      <c r="B23" s="33">
        <v>534000</v>
      </c>
      <c r="C23" s="34">
        <v>442222.51</v>
      </c>
      <c r="D23" s="34"/>
    </row>
    <row r="24" spans="1:4" s="27" customFormat="1" ht="19.5">
      <c r="A24" s="32" t="s">
        <v>12</v>
      </c>
      <c r="B24" s="33">
        <v>541000</v>
      </c>
      <c r="C24" s="34">
        <v>1550044.3</v>
      </c>
      <c r="D24" s="34"/>
    </row>
    <row r="25" spans="1:4" s="27" customFormat="1" ht="19.5">
      <c r="A25" s="32" t="s">
        <v>13</v>
      </c>
      <c r="B25" s="33">
        <v>542000</v>
      </c>
      <c r="C25" s="34">
        <v>3681200</v>
      </c>
      <c r="D25" s="34"/>
    </row>
    <row r="26" spans="1:4" s="27" customFormat="1" ht="19.5">
      <c r="A26" s="32" t="s">
        <v>11</v>
      </c>
      <c r="B26" s="33">
        <v>560000</v>
      </c>
      <c r="C26" s="34">
        <v>4030843.2</v>
      </c>
      <c r="D26" s="34"/>
    </row>
    <row r="27" spans="1:4" s="27" customFormat="1" ht="21">
      <c r="A27" s="32" t="s">
        <v>118</v>
      </c>
      <c r="B27" s="33">
        <v>821</v>
      </c>
      <c r="C27" s="192"/>
      <c r="D27" s="193">
        <v>70939191.16</v>
      </c>
    </row>
    <row r="28" spans="1:4" s="27" customFormat="1" ht="19.5">
      <c r="A28" s="32" t="s">
        <v>14</v>
      </c>
      <c r="B28" s="33">
        <v>700</v>
      </c>
      <c r="C28" s="34"/>
      <c r="D28" s="34">
        <v>12980226.89</v>
      </c>
    </row>
    <row r="29" spans="1:4" s="27" customFormat="1" ht="19.5">
      <c r="A29" s="32" t="s">
        <v>70</v>
      </c>
      <c r="B29" s="33"/>
      <c r="C29" s="34"/>
      <c r="D29" s="34">
        <v>20007218.05</v>
      </c>
    </row>
    <row r="30" spans="1:4" s="27" customFormat="1" ht="19.5">
      <c r="A30" s="32" t="s">
        <v>119</v>
      </c>
      <c r="B30" s="33">
        <v>900</v>
      </c>
      <c r="C30" s="34"/>
      <c r="D30" s="34">
        <v>2440581.6</v>
      </c>
    </row>
    <row r="31" spans="1:4" s="27" customFormat="1" ht="19.5">
      <c r="A31" s="32" t="s">
        <v>120</v>
      </c>
      <c r="B31" s="33"/>
      <c r="C31" s="34"/>
      <c r="D31" s="34">
        <v>1946149</v>
      </c>
    </row>
    <row r="32" spans="1:4" s="27" customFormat="1" ht="19.5">
      <c r="A32" s="32" t="s">
        <v>121</v>
      </c>
      <c r="B32" s="33">
        <v>600</v>
      </c>
      <c r="C32" s="34"/>
      <c r="D32" s="34">
        <v>3277730</v>
      </c>
    </row>
    <row r="33" spans="1:4" s="27" customFormat="1" ht="19.5">
      <c r="A33" s="32" t="s">
        <v>251</v>
      </c>
      <c r="B33" s="108"/>
      <c r="C33" s="34"/>
      <c r="D33" s="34">
        <v>410</v>
      </c>
    </row>
    <row r="34" spans="1:4" s="27" customFormat="1" ht="19.5">
      <c r="A34" s="32" t="s">
        <v>315</v>
      </c>
      <c r="B34" s="108"/>
      <c r="C34" s="34"/>
      <c r="D34" s="34">
        <v>20000</v>
      </c>
    </row>
    <row r="35" spans="1:4" s="27" customFormat="1" ht="19.5">
      <c r="A35" s="109"/>
      <c r="B35" s="108"/>
      <c r="C35" s="34"/>
      <c r="D35" s="34"/>
    </row>
    <row r="36" spans="1:4" s="27" customFormat="1" ht="20.25" thickBot="1">
      <c r="A36" s="36" t="s">
        <v>18</v>
      </c>
      <c r="B36" s="37"/>
      <c r="C36" s="38">
        <f>SUM(C5:C32)</f>
        <v>111611506.70000002</v>
      </c>
      <c r="D36" s="38">
        <f>SUM(D5:D35)</f>
        <v>111611506.69999999</v>
      </c>
    </row>
    <row r="37" spans="1:4" s="27" customFormat="1" ht="20.25" thickTop="1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9.5">
      <c r="A39" s="39"/>
      <c r="B39" s="39"/>
      <c r="C39" s="40"/>
      <c r="D39" s="40"/>
    </row>
    <row r="40" spans="1:4" s="27" customFormat="1" ht="15.75" customHeight="1">
      <c r="A40" s="39"/>
      <c r="B40" s="39"/>
      <c r="C40" s="40"/>
      <c r="D40" s="40"/>
    </row>
    <row r="41" spans="1:6" s="27" customFormat="1" ht="21">
      <c r="A41" s="276" t="s">
        <v>317</v>
      </c>
      <c r="B41" s="276"/>
      <c r="C41" s="276"/>
      <c r="D41" s="276"/>
      <c r="E41" s="48"/>
      <c r="F41" s="48"/>
    </row>
    <row r="42" spans="1:6" s="27" customFormat="1" ht="21">
      <c r="A42" s="276" t="s">
        <v>318</v>
      </c>
      <c r="B42" s="276"/>
      <c r="C42" s="276"/>
      <c r="D42" s="276"/>
      <c r="E42" s="48"/>
      <c r="F42" s="48"/>
    </row>
    <row r="43" spans="1:6" s="27" customFormat="1" ht="21">
      <c r="A43" s="277" t="s">
        <v>128</v>
      </c>
      <c r="B43" s="277"/>
      <c r="C43" s="277"/>
      <c r="D43" s="277"/>
      <c r="E43" s="48"/>
      <c r="F43" s="48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7" customFormat="1" ht="19.5">
      <c r="A104" s="41"/>
      <c r="B104" s="41"/>
      <c r="C104" s="41"/>
      <c r="D104" s="4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92"/>
  <sheetViews>
    <sheetView zoomScale="150" zoomScaleNormal="150" zoomScalePageLayoutView="0" workbookViewId="0" topLeftCell="A1">
      <selection activeCell="A42" sqref="A42:E42"/>
    </sheetView>
  </sheetViews>
  <sheetFormatPr defaultColWidth="9.140625" defaultRowHeight="21.75"/>
  <cols>
    <col min="1" max="1" width="49.421875" style="19" customWidth="1"/>
    <col min="2" max="2" width="9.28125" style="152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77" t="s">
        <v>175</v>
      </c>
      <c r="B1" s="277"/>
      <c r="C1" s="277"/>
      <c r="D1" s="277"/>
      <c r="E1" s="277"/>
      <c r="F1" s="48"/>
    </row>
    <row r="2" spans="1:6" s="42" customFormat="1" ht="21">
      <c r="A2" s="288" t="s">
        <v>92</v>
      </c>
      <c r="B2" s="288"/>
      <c r="C2" s="288"/>
      <c r="D2" s="288"/>
      <c r="E2" s="288"/>
      <c r="F2" s="48"/>
    </row>
    <row r="3" spans="1:6" s="42" customFormat="1" ht="21">
      <c r="A3" s="287" t="s">
        <v>298</v>
      </c>
      <c r="B3" s="287"/>
      <c r="C3" s="287"/>
      <c r="D3" s="287"/>
      <c r="E3" s="287"/>
      <c r="F3" s="139"/>
    </row>
    <row r="4" spans="1:6" s="43" customFormat="1" ht="21">
      <c r="A4" s="281" t="s">
        <v>116</v>
      </c>
      <c r="B4" s="281" t="s">
        <v>1</v>
      </c>
      <c r="C4" s="279" t="s">
        <v>27</v>
      </c>
      <c r="D4" s="279" t="s">
        <v>114</v>
      </c>
      <c r="E4" s="279" t="s">
        <v>113</v>
      </c>
      <c r="F4" s="140"/>
    </row>
    <row r="5" spans="1:6" s="43" customFormat="1" ht="21">
      <c r="A5" s="282"/>
      <c r="B5" s="282"/>
      <c r="C5" s="280"/>
      <c r="D5" s="280"/>
      <c r="E5" s="280"/>
      <c r="F5" s="140"/>
    </row>
    <row r="6" spans="1:6" s="42" customFormat="1" ht="21">
      <c r="A6" s="141" t="s">
        <v>93</v>
      </c>
      <c r="B6" s="24"/>
      <c r="C6" s="142"/>
      <c r="D6" s="142"/>
      <c r="E6" s="142"/>
      <c r="F6" s="143"/>
    </row>
    <row r="7" spans="1:6" s="42" customFormat="1" ht="21">
      <c r="A7" s="127" t="s">
        <v>94</v>
      </c>
      <c r="B7" s="161">
        <v>411000</v>
      </c>
      <c r="C7" s="117"/>
      <c r="D7" s="117"/>
      <c r="E7" s="117"/>
      <c r="F7" s="143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9110</v>
      </c>
      <c r="E8" s="117">
        <v>2262447</v>
      </c>
      <c r="F8" s="143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4897.67</v>
      </c>
      <c r="E9" s="117">
        <v>168261.62</v>
      </c>
      <c r="F9" s="143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3244</v>
      </c>
      <c r="E10" s="117">
        <v>300242</v>
      </c>
      <c r="F10" s="143"/>
    </row>
    <row r="11" spans="1:6" s="42" customFormat="1" ht="21">
      <c r="A11" s="120" t="s">
        <v>166</v>
      </c>
      <c r="B11" s="24">
        <v>411005</v>
      </c>
      <c r="C11" s="117">
        <v>100000</v>
      </c>
      <c r="D11" s="117">
        <v>0</v>
      </c>
      <c r="E11" s="117">
        <v>100000</v>
      </c>
      <c r="F11" s="143"/>
    </row>
    <row r="12" spans="1:6" s="43" customFormat="1" ht="21">
      <c r="A12" s="144" t="s">
        <v>18</v>
      </c>
      <c r="B12" s="50"/>
      <c r="C12" s="125">
        <f>SUM(C8:C11)</f>
        <v>3280000</v>
      </c>
      <c r="D12" s="125">
        <f>SUM(D8:D11)</f>
        <v>17251.67</v>
      </c>
      <c r="E12" s="125">
        <f>SUM(E8:E11)</f>
        <v>2830950.62</v>
      </c>
      <c r="F12" s="140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5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87300</v>
      </c>
      <c r="E14" s="117">
        <v>652490</v>
      </c>
      <c r="F14" s="143"/>
    </row>
    <row r="15" spans="1:6" s="42" customFormat="1" ht="21">
      <c r="A15" s="120" t="s">
        <v>167</v>
      </c>
      <c r="B15" s="24">
        <v>412128</v>
      </c>
      <c r="C15" s="117">
        <v>5000</v>
      </c>
      <c r="D15" s="117">
        <v>550</v>
      </c>
      <c r="E15" s="117">
        <v>2970</v>
      </c>
      <c r="F15" s="143"/>
    </row>
    <row r="16" spans="1:6" s="42" customFormat="1" ht="21">
      <c r="A16" s="120" t="s">
        <v>168</v>
      </c>
      <c r="B16" s="24">
        <v>412199</v>
      </c>
      <c r="C16" s="117">
        <v>30000</v>
      </c>
      <c r="D16" s="117">
        <v>562.6</v>
      </c>
      <c r="E16" s="117">
        <v>79022</v>
      </c>
      <c r="F16" s="143"/>
    </row>
    <row r="17" spans="1:6" s="42" customFormat="1" ht="21">
      <c r="A17" s="120" t="s">
        <v>169</v>
      </c>
      <c r="B17" s="24">
        <v>412210</v>
      </c>
      <c r="C17" s="117">
        <v>30000</v>
      </c>
      <c r="D17" s="117">
        <v>0</v>
      </c>
      <c r="E17" s="117">
        <v>130709</v>
      </c>
      <c r="F17" s="143"/>
    </row>
    <row r="18" spans="1:6" s="42" customFormat="1" ht="21">
      <c r="A18" s="120" t="s">
        <v>176</v>
      </c>
      <c r="B18" s="24">
        <v>412302</v>
      </c>
      <c r="C18" s="117">
        <v>5000</v>
      </c>
      <c r="D18" s="117">
        <v>0</v>
      </c>
      <c r="E18" s="117">
        <v>0</v>
      </c>
      <c r="F18" s="143"/>
    </row>
    <row r="19" spans="1:6" s="42" customFormat="1" ht="21">
      <c r="A19" s="120" t="s">
        <v>170</v>
      </c>
      <c r="B19" s="24">
        <v>412303</v>
      </c>
      <c r="C19" s="117">
        <v>20000</v>
      </c>
      <c r="D19" s="117">
        <v>11600</v>
      </c>
      <c r="E19" s="117">
        <v>58490</v>
      </c>
      <c r="F19" s="143"/>
    </row>
    <row r="20" spans="1:6" s="42" customFormat="1" ht="21">
      <c r="A20" s="120" t="s">
        <v>171</v>
      </c>
      <c r="B20" s="24">
        <v>412304</v>
      </c>
      <c r="C20" s="117">
        <v>7000</v>
      </c>
      <c r="D20" s="117">
        <v>0</v>
      </c>
      <c r="E20" s="117">
        <v>11130</v>
      </c>
      <c r="F20" s="143"/>
    </row>
    <row r="21" spans="1:6" s="42" customFormat="1" ht="21">
      <c r="A21" s="120" t="s">
        <v>172</v>
      </c>
      <c r="B21" s="24">
        <v>412306</v>
      </c>
      <c r="C21" s="117">
        <v>5000</v>
      </c>
      <c r="D21" s="117">
        <v>2000</v>
      </c>
      <c r="E21" s="117">
        <v>4000</v>
      </c>
      <c r="F21" s="143"/>
    </row>
    <row r="22" spans="1:6" s="42" customFormat="1" ht="21">
      <c r="A22" s="120" t="s">
        <v>173</v>
      </c>
      <c r="B22" s="24">
        <v>412307</v>
      </c>
      <c r="C22" s="117">
        <v>10000</v>
      </c>
      <c r="D22" s="117">
        <v>2723</v>
      </c>
      <c r="E22" s="117">
        <v>14635</v>
      </c>
      <c r="F22" s="143"/>
    </row>
    <row r="23" spans="1:6" s="43" customFormat="1" ht="21">
      <c r="A23" s="144" t="s">
        <v>18</v>
      </c>
      <c r="B23" s="50"/>
      <c r="C23" s="125">
        <f>SUM(C14:C22)</f>
        <v>662000</v>
      </c>
      <c r="D23" s="125">
        <f>SUM(D14:D22)</f>
        <v>104735.6</v>
      </c>
      <c r="E23" s="125">
        <f>SUM(E14:E22)</f>
        <v>953446</v>
      </c>
      <c r="F23" s="140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5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46701.65</v>
      </c>
      <c r="E25" s="117">
        <v>786922.73</v>
      </c>
      <c r="F25" s="143"/>
    </row>
    <row r="26" spans="1:6" s="42" customFormat="1" ht="21">
      <c r="A26" s="120" t="s">
        <v>174</v>
      </c>
      <c r="B26" s="24">
        <v>413999</v>
      </c>
      <c r="C26" s="117">
        <v>0</v>
      </c>
      <c r="D26" s="117">
        <v>0</v>
      </c>
      <c r="E26" s="117">
        <v>0</v>
      </c>
      <c r="F26" s="143"/>
    </row>
    <row r="27" spans="1:6" s="42" customFormat="1" ht="21">
      <c r="A27" s="144" t="s">
        <v>18</v>
      </c>
      <c r="B27" s="50"/>
      <c r="C27" s="125">
        <f>SUM(C25:C26)</f>
        <v>550000</v>
      </c>
      <c r="D27" s="125">
        <f>SUM(D25:D26)</f>
        <v>46701.65</v>
      </c>
      <c r="E27" s="125">
        <f>SUM(E25:E26)</f>
        <v>786922.73</v>
      </c>
      <c r="F27" s="146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5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39100</v>
      </c>
      <c r="E29" s="117">
        <v>133200</v>
      </c>
      <c r="F29" s="143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30</v>
      </c>
      <c r="F30" s="143"/>
    </row>
    <row r="31" spans="1:6" s="42" customFormat="1" ht="21">
      <c r="A31" s="144" t="s">
        <v>18</v>
      </c>
      <c r="B31" s="50"/>
      <c r="C31" s="154">
        <f>SUM(C29:C30)</f>
        <v>70000</v>
      </c>
      <c r="D31" s="154">
        <f>SUM(D29:D30)</f>
        <v>39100</v>
      </c>
      <c r="E31" s="154">
        <f>SUM(E29:E30)</f>
        <v>133230</v>
      </c>
      <c r="F31" s="146"/>
    </row>
    <row r="32" spans="1:6" s="160" customFormat="1" ht="21">
      <c r="A32" s="283" t="s">
        <v>46</v>
      </c>
      <c r="B32" s="284"/>
      <c r="C32" s="156">
        <f>C12+C23+C27+C31</f>
        <v>4562000</v>
      </c>
      <c r="D32" s="156">
        <f>D12+D23+D27+D31</f>
        <v>207788.92</v>
      </c>
      <c r="E32" s="156">
        <f>E12+E23+E27+E31</f>
        <v>4704549.35</v>
      </c>
      <c r="F32" s="159"/>
    </row>
    <row r="33" spans="1:6" s="153" customFormat="1" ht="21">
      <c r="A33" s="150"/>
      <c r="B33" s="151"/>
      <c r="C33" s="59"/>
      <c r="D33" s="59"/>
      <c r="E33" s="59"/>
      <c r="F33" s="148"/>
    </row>
    <row r="34" spans="1:6" s="153" customFormat="1" ht="21">
      <c r="A34" s="150"/>
      <c r="B34" s="151"/>
      <c r="C34" s="59"/>
      <c r="D34" s="59"/>
      <c r="E34" s="59"/>
      <c r="F34" s="148"/>
    </row>
    <row r="35" spans="1:6" s="153" customFormat="1" ht="21">
      <c r="A35" s="150"/>
      <c r="B35" s="151"/>
      <c r="C35" s="59"/>
      <c r="D35" s="59"/>
      <c r="E35" s="59"/>
      <c r="F35" s="148"/>
    </row>
    <row r="36" spans="1:6" s="153" customFormat="1" ht="21">
      <c r="A36" s="285" t="s">
        <v>314</v>
      </c>
      <c r="B36" s="285"/>
      <c r="C36" s="285"/>
      <c r="D36" s="285"/>
      <c r="E36" s="285"/>
      <c r="F36" s="285"/>
    </row>
    <row r="37" spans="1:6" s="153" customFormat="1" ht="21">
      <c r="A37" s="277" t="s">
        <v>313</v>
      </c>
      <c r="B37" s="277"/>
      <c r="C37" s="277"/>
      <c r="D37" s="277"/>
      <c r="E37" s="277"/>
      <c r="F37" s="277"/>
    </row>
    <row r="38" spans="1:6" s="153" customFormat="1" ht="21">
      <c r="A38" s="277" t="s">
        <v>128</v>
      </c>
      <c r="B38" s="277"/>
      <c r="C38" s="277"/>
      <c r="D38" s="277"/>
      <c r="E38" s="277"/>
      <c r="F38" s="49"/>
    </row>
    <row r="39" spans="1:6" s="153" customFormat="1" ht="21">
      <c r="A39" s="277" t="s">
        <v>128</v>
      </c>
      <c r="B39" s="277"/>
      <c r="C39" s="277"/>
      <c r="D39" s="277"/>
      <c r="E39" s="277"/>
      <c r="F39" s="277"/>
    </row>
    <row r="40" spans="1:6" s="153" customFormat="1" ht="21">
      <c r="A40" s="277" t="s">
        <v>255</v>
      </c>
      <c r="B40" s="277"/>
      <c r="C40" s="277"/>
      <c r="D40" s="277"/>
      <c r="E40" s="277"/>
      <c r="F40" s="49"/>
    </row>
    <row r="41" spans="1:6" s="153" customFormat="1" ht="21">
      <c r="A41" s="288" t="s">
        <v>92</v>
      </c>
      <c r="B41" s="288"/>
      <c r="C41" s="288"/>
      <c r="D41" s="288"/>
      <c r="E41" s="288"/>
      <c r="F41" s="148"/>
    </row>
    <row r="42" spans="1:6" s="153" customFormat="1" ht="21">
      <c r="A42" s="287" t="s">
        <v>298</v>
      </c>
      <c r="B42" s="287"/>
      <c r="C42" s="287"/>
      <c r="D42" s="287"/>
      <c r="E42" s="287"/>
      <c r="F42" s="148"/>
    </row>
    <row r="43" spans="1:6" s="153" customFormat="1" ht="21">
      <c r="A43" s="281" t="s">
        <v>116</v>
      </c>
      <c r="B43" s="281" t="s">
        <v>1</v>
      </c>
      <c r="C43" s="279" t="s">
        <v>27</v>
      </c>
      <c r="D43" s="279" t="s">
        <v>114</v>
      </c>
      <c r="E43" s="279" t="s">
        <v>113</v>
      </c>
      <c r="F43" s="148"/>
    </row>
    <row r="44" spans="1:6" s="153" customFormat="1" ht="21">
      <c r="A44" s="282"/>
      <c r="B44" s="282"/>
      <c r="C44" s="280"/>
      <c r="D44" s="280"/>
      <c r="E44" s="280"/>
      <c r="F44" s="148"/>
    </row>
    <row r="45" spans="1:6" s="158" customFormat="1" ht="21">
      <c r="A45" s="286" t="s">
        <v>31</v>
      </c>
      <c r="B45" s="286"/>
      <c r="C45" s="156">
        <f>C32</f>
        <v>4562000</v>
      </c>
      <c r="D45" s="156">
        <f>D32</f>
        <v>207788.92</v>
      </c>
      <c r="E45" s="156">
        <f>E32</f>
        <v>4704549.35</v>
      </c>
      <c r="F45" s="157"/>
    </row>
    <row r="46" spans="1:6" s="43" customFormat="1" ht="21">
      <c r="A46" s="127" t="s">
        <v>103</v>
      </c>
      <c r="B46" s="50"/>
      <c r="C46" s="118"/>
      <c r="D46" s="118"/>
      <c r="E46" s="118"/>
      <c r="F46" s="145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5"/>
    </row>
    <row r="48" spans="1:6" s="42" customFormat="1" ht="21">
      <c r="A48" s="120" t="s">
        <v>178</v>
      </c>
      <c r="B48" s="24">
        <v>421002</v>
      </c>
      <c r="C48" s="117">
        <v>5900000</v>
      </c>
      <c r="D48" s="117">
        <v>0</v>
      </c>
      <c r="E48" s="117">
        <v>9038034.57</v>
      </c>
      <c r="F48" s="143"/>
    </row>
    <row r="49" spans="1:6" s="42" customFormat="1" ht="21">
      <c r="A49" s="120" t="s">
        <v>177</v>
      </c>
      <c r="B49" s="24">
        <v>421004</v>
      </c>
      <c r="C49" s="117">
        <v>4000000</v>
      </c>
      <c r="D49" s="117">
        <v>0</v>
      </c>
      <c r="E49" s="117">
        <v>4277436.86</v>
      </c>
      <c r="F49" s="143"/>
    </row>
    <row r="50" spans="1:6" s="42" customFormat="1" ht="21">
      <c r="A50" s="120" t="s">
        <v>179</v>
      </c>
      <c r="B50" s="24">
        <v>421005</v>
      </c>
      <c r="C50" s="117">
        <v>830000</v>
      </c>
      <c r="D50" s="117">
        <v>0</v>
      </c>
      <c r="E50" s="117">
        <v>593794.34</v>
      </c>
      <c r="F50" s="143"/>
    </row>
    <row r="51" spans="1:6" s="42" customFormat="1" ht="21">
      <c r="A51" s="120" t="s">
        <v>180</v>
      </c>
      <c r="B51" s="24">
        <v>421006</v>
      </c>
      <c r="C51" s="117">
        <v>1500000</v>
      </c>
      <c r="D51" s="117">
        <v>691566.6</v>
      </c>
      <c r="E51" s="117">
        <v>1799934.44</v>
      </c>
      <c r="F51" s="143"/>
    </row>
    <row r="52" spans="1:6" s="42" customFormat="1" ht="21">
      <c r="A52" s="120" t="s">
        <v>181</v>
      </c>
      <c r="B52" s="24">
        <v>421007</v>
      </c>
      <c r="C52" s="117">
        <v>3200000</v>
      </c>
      <c r="D52" s="117">
        <v>957615.92</v>
      </c>
      <c r="E52" s="117">
        <v>2423106.86</v>
      </c>
      <c r="F52" s="143"/>
    </row>
    <row r="53" spans="1:6" s="42" customFormat="1" ht="21">
      <c r="A53" s="120" t="s">
        <v>182</v>
      </c>
      <c r="B53" s="24">
        <v>421012</v>
      </c>
      <c r="C53" s="117">
        <v>60000</v>
      </c>
      <c r="D53" s="117">
        <v>0</v>
      </c>
      <c r="E53" s="117">
        <v>20844.58</v>
      </c>
      <c r="F53" s="143"/>
    </row>
    <row r="54" spans="1:6" s="42" customFormat="1" ht="21">
      <c r="A54" s="120" t="s">
        <v>183</v>
      </c>
      <c r="B54" s="24">
        <v>421013</v>
      </c>
      <c r="C54" s="117">
        <v>127000</v>
      </c>
      <c r="D54" s="117">
        <v>0</v>
      </c>
      <c r="E54" s="117">
        <v>127869.16</v>
      </c>
      <c r="F54" s="143"/>
    </row>
    <row r="55" spans="1:6" s="42" customFormat="1" ht="21">
      <c r="A55" s="120" t="s">
        <v>184</v>
      </c>
      <c r="B55" s="24">
        <v>421015</v>
      </c>
      <c r="C55" s="117">
        <v>23000000</v>
      </c>
      <c r="D55" s="117">
        <v>3729735</v>
      </c>
      <c r="E55" s="117">
        <v>28211908</v>
      </c>
      <c r="F55" s="143"/>
    </row>
    <row r="56" spans="1:6" s="42" customFormat="1" ht="21">
      <c r="A56" s="147" t="s">
        <v>185</v>
      </c>
      <c r="B56" s="24">
        <v>421014</v>
      </c>
      <c r="C56" s="117">
        <v>7620</v>
      </c>
      <c r="D56" s="117">
        <v>0</v>
      </c>
      <c r="E56" s="117">
        <v>6087</v>
      </c>
      <c r="F56" s="143"/>
    </row>
    <row r="57" spans="1:6" s="42" customFormat="1" ht="21">
      <c r="A57" s="147" t="s">
        <v>186</v>
      </c>
      <c r="B57" s="24">
        <v>421017</v>
      </c>
      <c r="C57" s="117">
        <v>4590</v>
      </c>
      <c r="D57" s="117">
        <v>0</v>
      </c>
      <c r="E57" s="117">
        <v>12240</v>
      </c>
      <c r="F57" s="143"/>
    </row>
    <row r="58" spans="1:6" s="42" customFormat="1" ht="21">
      <c r="A58" s="144" t="s">
        <v>18</v>
      </c>
      <c r="B58" s="50"/>
      <c r="C58" s="125">
        <f>SUM(C48:C57)</f>
        <v>38629210</v>
      </c>
      <c r="D58" s="125">
        <f>SUM(D48:D57)</f>
        <v>5378917.52</v>
      </c>
      <c r="E58" s="125">
        <f>SUM(E48:E57)</f>
        <v>46511255.81</v>
      </c>
      <c r="F58" s="146"/>
    </row>
    <row r="59" spans="1:6" s="42" customFormat="1" ht="21">
      <c r="A59" s="120" t="s">
        <v>105</v>
      </c>
      <c r="B59" s="24"/>
      <c r="C59" s="117"/>
      <c r="D59" s="117"/>
      <c r="E59" s="117"/>
      <c r="F59" s="143"/>
    </row>
    <row r="60" spans="1:6" s="42" customFormat="1" ht="21">
      <c r="A60" s="120" t="s">
        <v>106</v>
      </c>
      <c r="B60" s="161">
        <v>430000</v>
      </c>
      <c r="C60" s="117"/>
      <c r="D60" s="117"/>
      <c r="E60" s="117"/>
      <c r="F60" s="143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>
        <v>0</v>
      </c>
      <c r="E61" s="117">
        <v>10354556</v>
      </c>
      <c r="F61" s="143"/>
    </row>
    <row r="62" spans="1:6" s="42" customFormat="1" ht="21">
      <c r="A62" s="120" t="s">
        <v>306</v>
      </c>
      <c r="B62" s="24"/>
      <c r="C62" s="117"/>
      <c r="D62" s="117"/>
      <c r="E62" s="117"/>
      <c r="F62" s="143"/>
    </row>
    <row r="63" spans="1:6" s="43" customFormat="1" ht="21">
      <c r="A63" s="120" t="s">
        <v>307</v>
      </c>
      <c r="B63" s="24"/>
      <c r="C63" s="117"/>
      <c r="D63" s="117">
        <v>0</v>
      </c>
      <c r="E63" s="117">
        <v>7877800</v>
      </c>
      <c r="F63" s="143"/>
    </row>
    <row r="64" spans="1:6" s="43" customFormat="1" ht="21">
      <c r="A64" s="120" t="s">
        <v>308</v>
      </c>
      <c r="B64" s="24"/>
      <c r="C64" s="117"/>
      <c r="D64" s="117">
        <v>0</v>
      </c>
      <c r="E64" s="117">
        <v>954000</v>
      </c>
      <c r="F64" s="143"/>
    </row>
    <row r="65" spans="1:6" s="43" customFormat="1" ht="21">
      <c r="A65" s="120" t="s">
        <v>309</v>
      </c>
      <c r="B65" s="24"/>
      <c r="C65" s="117"/>
      <c r="D65" s="117">
        <v>0</v>
      </c>
      <c r="E65" s="117">
        <v>409600</v>
      </c>
      <c r="F65" s="143"/>
    </row>
    <row r="66" spans="1:6" s="43" customFormat="1" ht="21">
      <c r="A66" s="120" t="s">
        <v>310</v>
      </c>
      <c r="B66" s="24"/>
      <c r="C66" s="117"/>
      <c r="D66" s="117">
        <v>0</v>
      </c>
      <c r="E66" s="117">
        <v>103400</v>
      </c>
      <c r="F66" s="143"/>
    </row>
    <row r="67" spans="1:6" s="43" customFormat="1" ht="21">
      <c r="A67" s="120" t="s">
        <v>311</v>
      </c>
      <c r="B67" s="24"/>
      <c r="C67" s="117"/>
      <c r="D67" s="117">
        <v>0</v>
      </c>
      <c r="E67" s="117">
        <v>24030</v>
      </c>
      <c r="F67" s="143"/>
    </row>
    <row r="68" spans="1:6" s="42" customFormat="1" ht="21">
      <c r="A68" s="120"/>
      <c r="B68" s="24"/>
      <c r="C68" s="117"/>
      <c r="D68" s="117"/>
      <c r="E68" s="117"/>
      <c r="F68" s="143"/>
    </row>
    <row r="69" spans="1:6" s="42" customFormat="1" ht="21">
      <c r="A69" s="120"/>
      <c r="B69" s="24"/>
      <c r="C69" s="117"/>
      <c r="D69" s="117"/>
      <c r="E69" s="117"/>
      <c r="F69" s="143"/>
    </row>
    <row r="70" spans="1:6" s="25" customFormat="1" ht="21">
      <c r="A70" s="144" t="s">
        <v>18</v>
      </c>
      <c r="B70" s="50"/>
      <c r="C70" s="125">
        <f>SUM(C61)</f>
        <v>10870000</v>
      </c>
      <c r="D70" s="125">
        <f>SUM(D61:D69)</f>
        <v>0</v>
      </c>
      <c r="E70" s="125">
        <f>SUM(E61:E69)</f>
        <v>19723386</v>
      </c>
      <c r="F70" s="146"/>
    </row>
    <row r="71" spans="1:6" s="25" customFormat="1" ht="21.75" thickBot="1">
      <c r="A71" s="155" t="s">
        <v>108</v>
      </c>
      <c r="B71" s="131"/>
      <c r="C71" s="122">
        <f>C45+C58+C70</f>
        <v>54061210</v>
      </c>
      <c r="D71" s="122">
        <f>D12+D23+D27+D31+D58+D70</f>
        <v>5586706.4399999995</v>
      </c>
      <c r="E71" s="122">
        <f>E45+E58+E70</f>
        <v>70939191.16</v>
      </c>
      <c r="F71" s="149"/>
    </row>
    <row r="72" spans="1:6" s="25" customFormat="1" ht="21.75" thickTop="1">
      <c r="A72" s="150"/>
      <c r="B72" s="151"/>
      <c r="C72" s="59"/>
      <c r="D72" s="59"/>
      <c r="E72" s="59"/>
      <c r="F72" s="59"/>
    </row>
    <row r="73" spans="1:6" s="25" customFormat="1" ht="21">
      <c r="A73" s="150"/>
      <c r="B73" s="151"/>
      <c r="C73" s="59"/>
      <c r="D73" s="59"/>
      <c r="E73" s="59"/>
      <c r="F73" s="59"/>
    </row>
    <row r="74" spans="1:6" s="1" customFormat="1" ht="21">
      <c r="A74" s="150"/>
      <c r="B74" s="151"/>
      <c r="C74" s="59"/>
      <c r="D74" s="59"/>
      <c r="E74" s="59"/>
      <c r="F74" s="59"/>
    </row>
    <row r="75" spans="1:6" s="1" customFormat="1" ht="21">
      <c r="A75" s="285" t="s">
        <v>314</v>
      </c>
      <c r="B75" s="285"/>
      <c r="C75" s="285"/>
      <c r="D75" s="285"/>
      <c r="E75" s="285"/>
      <c r="F75" s="285"/>
    </row>
    <row r="76" spans="1:6" s="1" customFormat="1" ht="21">
      <c r="A76" s="277" t="s">
        <v>313</v>
      </c>
      <c r="B76" s="277"/>
      <c r="C76" s="277"/>
      <c r="D76" s="277"/>
      <c r="E76" s="277"/>
      <c r="F76" s="277"/>
    </row>
    <row r="77" spans="1:6" s="1" customFormat="1" ht="21">
      <c r="A77" s="277" t="s">
        <v>128</v>
      </c>
      <c r="B77" s="277"/>
      <c r="C77" s="277"/>
      <c r="D77" s="277"/>
      <c r="E77" s="277"/>
      <c r="F77" s="49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5">
    <mergeCell ref="A76:F76"/>
    <mergeCell ref="A77:E77"/>
    <mergeCell ref="A1:E1"/>
    <mergeCell ref="A2:E2"/>
    <mergeCell ref="A3:E3"/>
    <mergeCell ref="B4:B5"/>
    <mergeCell ref="C4:C5"/>
    <mergeCell ref="D4:D5"/>
    <mergeCell ref="A41:E41"/>
    <mergeCell ref="B43:B44"/>
    <mergeCell ref="C43:C44"/>
    <mergeCell ref="D43:D44"/>
    <mergeCell ref="E43:E44"/>
    <mergeCell ref="A40:E40"/>
    <mergeCell ref="A75:F75"/>
    <mergeCell ref="A45:B45"/>
    <mergeCell ref="A42:E42"/>
    <mergeCell ref="A43:A44"/>
    <mergeCell ref="E4:E5"/>
    <mergeCell ref="A4:A5"/>
    <mergeCell ref="A32:B32"/>
    <mergeCell ref="A36:F36"/>
    <mergeCell ref="A37:F37"/>
    <mergeCell ref="A39:F39"/>
    <mergeCell ref="A38:E38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74"/>
  <sheetViews>
    <sheetView zoomScale="150" zoomScaleNormal="150" zoomScalePageLayoutView="0" workbookViewId="0" topLeftCell="A1">
      <selection activeCell="D14" sqref="D14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89" t="s">
        <v>80</v>
      </c>
      <c r="B1" s="289"/>
      <c r="C1" s="289"/>
      <c r="D1" s="289"/>
    </row>
    <row r="2" spans="1:4" s="46" customFormat="1" ht="21">
      <c r="A2" s="289" t="s">
        <v>87</v>
      </c>
      <c r="B2" s="289"/>
      <c r="C2" s="289"/>
      <c r="D2" s="289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7168.28</v>
      </c>
      <c r="C4" s="97">
        <v>41016.46</v>
      </c>
      <c r="D4" s="97">
        <v>6880.28</v>
      </c>
    </row>
    <row r="5" spans="1:4" s="46" customFormat="1" ht="21">
      <c r="A5" s="46" t="s">
        <v>15</v>
      </c>
      <c r="B5" s="97">
        <v>158161</v>
      </c>
      <c r="C5" s="97">
        <v>3330</v>
      </c>
      <c r="D5" s="98">
        <v>1670833</v>
      </c>
    </row>
    <row r="6" spans="1:4" s="46" customFormat="1" ht="21">
      <c r="A6" s="46" t="s">
        <v>16</v>
      </c>
      <c r="B6" s="97">
        <v>284.95</v>
      </c>
      <c r="C6" s="97">
        <v>0</v>
      </c>
      <c r="D6" s="98">
        <v>9556.22</v>
      </c>
    </row>
    <row r="7" spans="1:4" s="46" customFormat="1" ht="21">
      <c r="A7" s="46" t="s">
        <v>17</v>
      </c>
      <c r="B7" s="97">
        <v>341.94</v>
      </c>
      <c r="C7" s="97">
        <v>0</v>
      </c>
      <c r="D7" s="98">
        <v>11450.26</v>
      </c>
    </row>
    <row r="8" spans="1:4" s="46" customFormat="1" ht="21">
      <c r="A8" s="46" t="s">
        <v>50</v>
      </c>
      <c r="B8" s="97">
        <v>204233.43</v>
      </c>
      <c r="C8" s="97">
        <v>100000</v>
      </c>
      <c r="D8" s="98">
        <v>431719.84</v>
      </c>
    </row>
    <row r="9" spans="1:4" s="46" customFormat="1" ht="21">
      <c r="A9" s="46" t="s">
        <v>252</v>
      </c>
      <c r="B9" s="97">
        <v>30545.5</v>
      </c>
      <c r="C9" s="97">
        <v>29055</v>
      </c>
      <c r="D9" s="98">
        <v>1830</v>
      </c>
    </row>
    <row r="10" spans="1:4" s="46" customFormat="1" ht="21">
      <c r="A10" s="46" t="s">
        <v>248</v>
      </c>
      <c r="B10" s="97">
        <v>40000</v>
      </c>
      <c r="C10" s="97">
        <v>18000</v>
      </c>
      <c r="D10" s="98">
        <v>30333</v>
      </c>
    </row>
    <row r="11" spans="1:4" s="46" customFormat="1" ht="21">
      <c r="A11" s="218" t="s">
        <v>260</v>
      </c>
      <c r="B11" s="97">
        <v>0</v>
      </c>
      <c r="C11" s="97">
        <v>0</v>
      </c>
      <c r="D11" s="98">
        <v>255000</v>
      </c>
    </row>
    <row r="12" spans="1:4" s="46" customFormat="1" ht="21">
      <c r="A12" s="218" t="s">
        <v>296</v>
      </c>
      <c r="B12" s="97">
        <v>0</v>
      </c>
      <c r="C12" s="97">
        <v>40000</v>
      </c>
      <c r="D12" s="98">
        <v>0</v>
      </c>
    </row>
    <row r="13" spans="1:4" s="46" customFormat="1" ht="21">
      <c r="A13" s="218" t="s">
        <v>297</v>
      </c>
      <c r="B13" s="97">
        <v>22979</v>
      </c>
      <c r="C13" s="97">
        <v>24047</v>
      </c>
      <c r="D13" s="98">
        <v>22979</v>
      </c>
    </row>
    <row r="14" spans="1:4" s="47" customFormat="1" ht="21.75" thickBot="1">
      <c r="A14" s="99" t="s">
        <v>18</v>
      </c>
      <c r="B14" s="100">
        <f>SUM(B4:B13)</f>
        <v>463714.1</v>
      </c>
      <c r="C14" s="100">
        <f>SUM(C4:C13)</f>
        <v>255448.46</v>
      </c>
      <c r="D14" s="100">
        <f>SUM(D4:D13)</f>
        <v>2440581.6</v>
      </c>
    </row>
    <row r="15" spans="1:4" s="46" customFormat="1" ht="21.75" thickTop="1">
      <c r="A15" s="47" t="s">
        <v>122</v>
      </c>
      <c r="B15" s="101"/>
      <c r="C15" s="101"/>
      <c r="D15" s="101"/>
    </row>
    <row r="16" spans="1:4" s="46" customFormat="1" ht="21">
      <c r="A16" s="47" t="s">
        <v>109</v>
      </c>
      <c r="B16" s="94" t="s">
        <v>89</v>
      </c>
      <c r="C16" s="95" t="s">
        <v>90</v>
      </c>
      <c r="D16" s="96" t="s">
        <v>91</v>
      </c>
    </row>
    <row r="17" spans="1:4" s="46" customFormat="1" ht="21">
      <c r="A17" s="46" t="s">
        <v>245</v>
      </c>
      <c r="B17" s="111">
        <v>0</v>
      </c>
      <c r="C17" s="104">
        <v>0</v>
      </c>
      <c r="D17" s="112">
        <v>184</v>
      </c>
    </row>
    <row r="18" spans="1:4" s="46" customFormat="1" ht="21">
      <c r="A18" s="46" t="s">
        <v>123</v>
      </c>
      <c r="B18" s="102">
        <v>0</v>
      </c>
      <c r="C18" s="102">
        <v>0</v>
      </c>
      <c r="D18" s="102">
        <v>1945965</v>
      </c>
    </row>
    <row r="19" spans="1:4" s="47" customFormat="1" ht="21.75" thickBot="1">
      <c r="A19" s="99" t="s">
        <v>18</v>
      </c>
      <c r="B19" s="100">
        <v>0</v>
      </c>
      <c r="C19" s="100">
        <f>SUM(C17:C18)</f>
        <v>0</v>
      </c>
      <c r="D19" s="100">
        <f>SUM(D17:D18)</f>
        <v>1946149</v>
      </c>
    </row>
    <row r="20" spans="1:4" s="46" customFormat="1" ht="21.75" thickTop="1">
      <c r="A20" s="47" t="s">
        <v>124</v>
      </c>
      <c r="B20" s="101"/>
      <c r="C20" s="101"/>
      <c r="D20" s="101"/>
    </row>
    <row r="21" spans="1:4" s="46" customFormat="1" ht="21">
      <c r="A21" s="47" t="s">
        <v>109</v>
      </c>
      <c r="B21" s="94" t="s">
        <v>89</v>
      </c>
      <c r="C21" s="95" t="s">
        <v>90</v>
      </c>
      <c r="D21" s="96" t="s">
        <v>91</v>
      </c>
    </row>
    <row r="22" spans="1:4" s="46" customFormat="1" ht="21">
      <c r="A22" s="46" t="s">
        <v>165</v>
      </c>
      <c r="B22" s="102">
        <v>0</v>
      </c>
      <c r="C22" s="102">
        <v>0</v>
      </c>
      <c r="D22" s="102">
        <v>0</v>
      </c>
    </row>
    <row r="23" spans="1:4" s="46" customFormat="1" ht="21">
      <c r="A23" s="46" t="s">
        <v>246</v>
      </c>
      <c r="B23" s="102">
        <v>0</v>
      </c>
      <c r="C23" s="102">
        <v>0</v>
      </c>
      <c r="D23" s="102">
        <v>0</v>
      </c>
    </row>
    <row r="24" spans="1:4" s="46" customFormat="1" ht="21">
      <c r="A24" s="46" t="s">
        <v>12</v>
      </c>
      <c r="B24" s="162">
        <v>0</v>
      </c>
      <c r="C24" s="162">
        <v>75000</v>
      </c>
      <c r="D24" s="162">
        <v>19410</v>
      </c>
    </row>
    <row r="25" spans="1:4" s="46" customFormat="1" ht="21">
      <c r="A25" s="46" t="s">
        <v>13</v>
      </c>
      <c r="B25" s="162">
        <v>0</v>
      </c>
      <c r="C25" s="162">
        <v>0</v>
      </c>
      <c r="D25" s="162">
        <v>3258320</v>
      </c>
    </row>
    <row r="26" spans="1:4" s="46" customFormat="1" ht="21.75" thickBot="1">
      <c r="A26" s="99" t="s">
        <v>18</v>
      </c>
      <c r="B26" s="100">
        <v>0</v>
      </c>
      <c r="C26" s="100">
        <f>SUM(C22:C25)</f>
        <v>75000</v>
      </c>
      <c r="D26" s="100">
        <f>SUM(D22:D25)</f>
        <v>3277730</v>
      </c>
    </row>
    <row r="27" spans="1:4" s="46" customFormat="1" ht="21.75" thickTop="1">
      <c r="A27" s="222"/>
      <c r="B27" s="105"/>
      <c r="C27" s="223"/>
      <c r="D27" s="223"/>
    </row>
    <row r="28" spans="1:4" s="46" customFormat="1" ht="21">
      <c r="A28" s="222"/>
      <c r="B28" s="221"/>
      <c r="C28" s="221"/>
      <c r="D28" s="221"/>
    </row>
    <row r="29" spans="1:4" s="46" customFormat="1" ht="21">
      <c r="A29" s="224"/>
      <c r="B29" s="225"/>
      <c r="C29" s="223"/>
      <c r="D29" s="223"/>
    </row>
    <row r="30" spans="1:4" s="46" customFormat="1" ht="21">
      <c r="A30" s="224"/>
      <c r="B30" s="225"/>
      <c r="C30" s="223"/>
      <c r="D30" s="223"/>
    </row>
    <row r="31" spans="1:4" s="46" customFormat="1" ht="21">
      <c r="A31" s="224"/>
      <c r="B31" s="225"/>
      <c r="C31" s="223"/>
      <c r="D31" s="223"/>
    </row>
    <row r="32" spans="1:4" s="46" customFormat="1" ht="21">
      <c r="A32" s="224"/>
      <c r="B32" s="225"/>
      <c r="C32" s="223"/>
      <c r="D32" s="223"/>
    </row>
    <row r="33" spans="1:4" s="46" customFormat="1" ht="21">
      <c r="A33" s="224"/>
      <c r="B33" s="225"/>
      <c r="C33" s="223"/>
      <c r="D33" s="223"/>
    </row>
    <row r="34" spans="1:4" s="46" customFormat="1" ht="21">
      <c r="A34" s="224"/>
      <c r="B34" s="223"/>
      <c r="C34" s="223"/>
      <c r="D34" s="223"/>
    </row>
    <row r="35" spans="1:5" s="46" customFormat="1" ht="21">
      <c r="A35" s="226"/>
      <c r="B35" s="105"/>
      <c r="C35" s="105"/>
      <c r="D35" s="105"/>
      <c r="E35" s="224"/>
    </row>
    <row r="36" spans="1:6" s="46" customFormat="1" ht="21">
      <c r="A36" s="285" t="s">
        <v>320</v>
      </c>
      <c r="B36" s="285"/>
      <c r="C36" s="285"/>
      <c r="D36" s="285"/>
      <c r="E36" s="285"/>
      <c r="F36" s="139"/>
    </row>
    <row r="37" spans="1:6" s="46" customFormat="1" ht="21">
      <c r="A37" s="277" t="s">
        <v>319</v>
      </c>
      <c r="B37" s="277"/>
      <c r="C37" s="277"/>
      <c r="D37" s="277"/>
      <c r="E37" s="277"/>
      <c r="F37" s="48"/>
    </row>
    <row r="38" spans="1:6" s="19" customFormat="1" ht="21.75">
      <c r="A38" s="277" t="s">
        <v>128</v>
      </c>
      <c r="B38" s="277"/>
      <c r="C38" s="277"/>
      <c r="D38" s="277"/>
      <c r="E38" s="277"/>
      <c r="F38" s="49"/>
    </row>
    <row r="39" spans="1:6" s="19" customFormat="1" ht="21.75">
      <c r="A39" s="289" t="s">
        <v>80</v>
      </c>
      <c r="B39" s="289"/>
      <c r="C39" s="289"/>
      <c r="D39" s="289"/>
      <c r="E39" s="49"/>
      <c r="F39" s="49"/>
    </row>
    <row r="40" spans="1:6" s="19" customFormat="1" ht="21.75">
      <c r="A40" s="289" t="s">
        <v>87</v>
      </c>
      <c r="B40" s="289"/>
      <c r="C40" s="289"/>
      <c r="D40" s="289"/>
      <c r="E40" s="49"/>
      <c r="F40" s="49"/>
    </row>
    <row r="41" spans="1:4" s="19" customFormat="1" ht="21.75">
      <c r="A41" s="47" t="s">
        <v>126</v>
      </c>
      <c r="B41" s="103"/>
      <c r="C41" s="101"/>
      <c r="D41" s="101"/>
    </row>
    <row r="42" spans="1:4" s="19" customFormat="1" ht="21.75">
      <c r="A42" s="47" t="s">
        <v>127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129</v>
      </c>
      <c r="B43" s="104">
        <v>0</v>
      </c>
      <c r="C43" s="102">
        <v>639300</v>
      </c>
      <c r="D43" s="102">
        <v>1351300</v>
      </c>
    </row>
    <row r="44" spans="1:4" s="19" customFormat="1" ht="21.75">
      <c r="A44" s="46" t="s">
        <v>130</v>
      </c>
      <c r="B44" s="104">
        <v>0</v>
      </c>
      <c r="C44" s="102">
        <v>77000</v>
      </c>
      <c r="D44" s="102">
        <v>169500</v>
      </c>
    </row>
    <row r="45" spans="1:4" s="19" customFormat="1" ht="21.75">
      <c r="A45" s="46" t="s">
        <v>235</v>
      </c>
      <c r="B45" s="104">
        <v>0</v>
      </c>
      <c r="C45" s="102">
        <v>0</v>
      </c>
      <c r="D45" s="102">
        <v>146280</v>
      </c>
    </row>
    <row r="46" spans="1:4" s="19" customFormat="1" ht="21.75">
      <c r="A46" s="46" t="s">
        <v>189</v>
      </c>
      <c r="B46" s="104">
        <v>0</v>
      </c>
      <c r="C46" s="102">
        <v>0</v>
      </c>
      <c r="D46" s="102">
        <v>42720</v>
      </c>
    </row>
    <row r="47" spans="1:4" s="19" customFormat="1" ht="21.75">
      <c r="A47" s="46" t="s">
        <v>131</v>
      </c>
      <c r="B47" s="104">
        <v>0</v>
      </c>
      <c r="C47" s="102">
        <v>0</v>
      </c>
      <c r="D47" s="102">
        <v>11430</v>
      </c>
    </row>
    <row r="48" spans="1:4" s="19" customFormat="1" ht="21.75">
      <c r="A48" s="46"/>
      <c r="B48" s="162"/>
      <c r="C48" s="162"/>
      <c r="D48" s="162"/>
    </row>
    <row r="49" spans="1:4" s="19" customFormat="1" ht="21.75">
      <c r="A49" s="46"/>
      <c r="B49" s="104"/>
      <c r="C49" s="102"/>
      <c r="D49" s="102"/>
    </row>
    <row r="50" spans="1:4" s="47" customFormat="1" ht="21">
      <c r="A50" s="46"/>
      <c r="B50" s="102"/>
      <c r="C50" s="102"/>
      <c r="D50" s="102">
        <v>0</v>
      </c>
    </row>
    <row r="51" spans="1:4" s="19" customFormat="1" ht="22.5" thickBot="1">
      <c r="A51" s="99" t="s">
        <v>18</v>
      </c>
      <c r="B51" s="100">
        <f>SUM(B43:B50)</f>
        <v>0</v>
      </c>
      <c r="C51" s="100">
        <f>SUM(C43:C50)</f>
        <v>716300</v>
      </c>
      <c r="D51" s="100">
        <f>SUM(D43:D50)</f>
        <v>1721230</v>
      </c>
    </row>
    <row r="52" spans="2:4" s="19" customFormat="1" ht="22.5" thickTop="1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1:4" s="19" customFormat="1" ht="21.75">
      <c r="A58" s="47" t="s">
        <v>132</v>
      </c>
      <c r="B58" s="103"/>
      <c r="C58" s="106"/>
      <c r="D58" s="106"/>
    </row>
    <row r="59" spans="1:4" s="19" customFormat="1" ht="21.75">
      <c r="A59" s="47" t="s">
        <v>127</v>
      </c>
      <c r="B59" s="94" t="s">
        <v>89</v>
      </c>
      <c r="C59" s="95" t="s">
        <v>90</v>
      </c>
      <c r="D59" s="96" t="s">
        <v>91</v>
      </c>
    </row>
    <row r="60" spans="1:4" s="19" customFormat="1" ht="21.75">
      <c r="A60" s="46" t="s">
        <v>129</v>
      </c>
      <c r="B60" s="104">
        <v>0</v>
      </c>
      <c r="C60" s="104">
        <v>0</v>
      </c>
      <c r="D60" s="104">
        <v>0</v>
      </c>
    </row>
    <row r="61" spans="1:6" ht="21.75">
      <c r="A61" s="46" t="s">
        <v>130</v>
      </c>
      <c r="B61" s="104">
        <v>0</v>
      </c>
      <c r="C61" s="104">
        <v>0</v>
      </c>
      <c r="D61" s="104">
        <v>0</v>
      </c>
      <c r="E61" s="19"/>
      <c r="F61" s="19"/>
    </row>
    <row r="62" spans="1:6" ht="21.75">
      <c r="A62" s="46" t="s">
        <v>234</v>
      </c>
      <c r="B62" s="104">
        <v>146280</v>
      </c>
      <c r="C62" s="104">
        <v>48760</v>
      </c>
      <c r="D62" s="104">
        <v>48760</v>
      </c>
      <c r="E62" s="139"/>
      <c r="F62" s="184"/>
    </row>
    <row r="63" spans="1:6" ht="21.75">
      <c r="A63" s="46" t="s">
        <v>189</v>
      </c>
      <c r="B63" s="104">
        <v>42720</v>
      </c>
      <c r="C63" s="104">
        <v>14240</v>
      </c>
      <c r="D63" s="104">
        <v>14240</v>
      </c>
      <c r="E63" s="48"/>
      <c r="F63" s="185"/>
    </row>
    <row r="64" spans="1:6" ht="21.75">
      <c r="A64" s="46" t="s">
        <v>131</v>
      </c>
      <c r="B64" s="104">
        <v>10710</v>
      </c>
      <c r="C64" s="104">
        <v>3150</v>
      </c>
      <c r="D64" s="104">
        <v>0</v>
      </c>
      <c r="E64" s="48"/>
      <c r="F64" s="48"/>
    </row>
    <row r="65" spans="1:6" ht="21.75">
      <c r="A65" s="46" t="s">
        <v>232</v>
      </c>
      <c r="B65" s="102">
        <v>0</v>
      </c>
      <c r="C65" s="102">
        <v>0</v>
      </c>
      <c r="D65" s="102">
        <v>0</v>
      </c>
      <c r="E65" s="19"/>
      <c r="F65" s="19"/>
    </row>
    <row r="66" spans="1:6" ht="21.75">
      <c r="A66" s="46" t="s">
        <v>249</v>
      </c>
      <c r="B66" s="162">
        <v>0</v>
      </c>
      <c r="C66" s="162">
        <v>0</v>
      </c>
      <c r="D66" s="162">
        <v>0</v>
      </c>
      <c r="E66" s="19"/>
      <c r="F66" s="19"/>
    </row>
    <row r="67" spans="1:4" ht="22.5" thickBot="1">
      <c r="A67" s="99" t="s">
        <v>18</v>
      </c>
      <c r="B67" s="100">
        <f>SUM(B60:B66)</f>
        <v>199710</v>
      </c>
      <c r="C67" s="100">
        <f>SUM(C60:C66)</f>
        <v>66150</v>
      </c>
      <c r="D67" s="100">
        <f>SUM(D60:D66)</f>
        <v>63000</v>
      </c>
    </row>
    <row r="68" ht="24.75" thickTop="1"/>
    <row r="72" spans="1:5" ht="21.75">
      <c r="A72" s="285" t="s">
        <v>320</v>
      </c>
      <c r="B72" s="285"/>
      <c r="C72" s="285"/>
      <c r="D72" s="285"/>
      <c r="E72" s="285"/>
    </row>
    <row r="73" spans="1:5" ht="21.75">
      <c r="A73" s="277" t="s">
        <v>319</v>
      </c>
      <c r="B73" s="277"/>
      <c r="C73" s="277"/>
      <c r="D73" s="277"/>
      <c r="E73" s="277"/>
    </row>
    <row r="74" spans="1:5" ht="21.75">
      <c r="A74" s="277" t="s">
        <v>128</v>
      </c>
      <c r="B74" s="277"/>
      <c r="C74" s="277"/>
      <c r="D74" s="277"/>
      <c r="E74" s="277"/>
    </row>
  </sheetData>
  <sheetProtection/>
  <mergeCells count="10">
    <mergeCell ref="A72:E72"/>
    <mergeCell ref="A73:E73"/>
    <mergeCell ref="A74:E74"/>
    <mergeCell ref="A37:E37"/>
    <mergeCell ref="A40:D40"/>
    <mergeCell ref="A1:D1"/>
    <mergeCell ref="A2:D2"/>
    <mergeCell ref="A39:D39"/>
    <mergeCell ref="A38:E38"/>
    <mergeCell ref="A36:E36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43"/>
  <sheetViews>
    <sheetView zoomScale="150" zoomScaleNormal="150" zoomScalePageLayoutView="0" workbookViewId="0" topLeftCell="A1">
      <selection activeCell="C75" sqref="C75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75" t="s">
        <v>73</v>
      </c>
      <c r="B1" s="275"/>
      <c r="C1" s="275"/>
      <c r="D1" s="275"/>
      <c r="E1" s="275"/>
    </row>
    <row r="2" spans="1:5" s="1" customFormat="1" ht="21">
      <c r="A2" s="295" t="s">
        <v>243</v>
      </c>
      <c r="B2" s="295"/>
      <c r="C2" s="295"/>
      <c r="D2" s="295"/>
      <c r="E2" s="295"/>
    </row>
    <row r="3" spans="1:5" s="1" customFormat="1" ht="21">
      <c r="A3" s="275" t="s">
        <v>22</v>
      </c>
      <c r="B3" s="275"/>
      <c r="C3" s="275"/>
      <c r="D3" s="275"/>
      <c r="E3" s="275"/>
    </row>
    <row r="4" spans="1:5" s="1" customFormat="1" ht="21.75" thickBot="1">
      <c r="A4" s="296" t="s">
        <v>321</v>
      </c>
      <c r="B4" s="297"/>
      <c r="C4" s="297"/>
      <c r="D4" s="297"/>
      <c r="E4" s="297"/>
    </row>
    <row r="5" spans="1:5" s="1" customFormat="1" ht="21.75" thickTop="1">
      <c r="A5" s="291" t="s">
        <v>23</v>
      </c>
      <c r="B5" s="292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67678283.76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2830950.62</v>
      </c>
      <c r="C10" s="1" t="s">
        <v>33</v>
      </c>
      <c r="D10" s="121">
        <v>411000</v>
      </c>
      <c r="E10" s="98">
        <v>17251.67</v>
      </c>
    </row>
    <row r="11" spans="1:5" s="1" customFormat="1" ht="21">
      <c r="A11" s="117">
        <v>662000</v>
      </c>
      <c r="B11" s="98">
        <v>953446</v>
      </c>
      <c r="C11" s="1" t="s">
        <v>34</v>
      </c>
      <c r="D11" s="121">
        <v>412000</v>
      </c>
      <c r="E11" s="98">
        <v>104735.6</v>
      </c>
    </row>
    <row r="12" spans="1:5" s="1" customFormat="1" ht="21">
      <c r="A12" s="117">
        <v>550000</v>
      </c>
      <c r="B12" s="98">
        <v>786922.73</v>
      </c>
      <c r="C12" s="1" t="s">
        <v>35</v>
      </c>
      <c r="D12" s="121">
        <v>413000</v>
      </c>
      <c r="E12" s="98">
        <v>46701.65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133230</v>
      </c>
      <c r="C14" s="1" t="s">
        <v>37</v>
      </c>
      <c r="D14" s="121">
        <v>415000</v>
      </c>
      <c r="E14" s="98">
        <v>39100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46511255.81</v>
      </c>
      <c r="C16" s="1" t="s">
        <v>39</v>
      </c>
      <c r="D16" s="121">
        <v>421000</v>
      </c>
      <c r="E16" s="98">
        <v>5378917.52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">
      <c r="A18" s="117"/>
      <c r="B18" s="98">
        <v>9368830</v>
      </c>
      <c r="C18" s="1" t="s">
        <v>134</v>
      </c>
      <c r="D18" s="121"/>
      <c r="E18" s="98">
        <v>0</v>
      </c>
    </row>
    <row r="19" spans="1:5" s="1" customFormat="1" ht="21.75" thickBot="1">
      <c r="A19" s="122">
        <f>SUM(A8:A17)</f>
        <v>54061210</v>
      </c>
      <c r="B19" s="123">
        <f>SUM(B10:B18)</f>
        <v>70939191.16</v>
      </c>
      <c r="D19" s="120"/>
      <c r="E19" s="123">
        <f>SUM(E10:E18)</f>
        <v>5586706.4399999995</v>
      </c>
    </row>
    <row r="20" spans="1:5" s="1" customFormat="1" ht="7.5" customHeight="1" thickTop="1">
      <c r="A20" s="22"/>
      <c r="B20" s="124"/>
      <c r="D20" s="121"/>
      <c r="E20" s="117">
        <v>0</v>
      </c>
    </row>
    <row r="21" spans="1:5" s="1" customFormat="1" ht="21">
      <c r="A21" s="22"/>
      <c r="B21" s="117">
        <v>2969410.05</v>
      </c>
      <c r="C21" s="1" t="s">
        <v>135</v>
      </c>
      <c r="D21" s="121">
        <v>900</v>
      </c>
      <c r="E21" s="117">
        <v>463714.1</v>
      </c>
    </row>
    <row r="22" spans="1:5" s="1" customFormat="1" ht="21">
      <c r="A22" s="22"/>
      <c r="B22" s="117">
        <v>1234679</v>
      </c>
      <c r="C22" s="1" t="s">
        <v>40</v>
      </c>
      <c r="D22" s="121" t="s">
        <v>69</v>
      </c>
      <c r="E22" s="117">
        <v>122670</v>
      </c>
    </row>
    <row r="23" spans="1:5" s="1" customFormat="1" ht="21">
      <c r="A23" s="22"/>
      <c r="B23" s="117">
        <v>4682010</v>
      </c>
      <c r="C23" s="1" t="s">
        <v>133</v>
      </c>
      <c r="D23" s="121"/>
      <c r="E23" s="117">
        <v>199710</v>
      </c>
    </row>
    <row r="24" spans="1:5" s="1" customFormat="1" ht="21">
      <c r="A24" s="22"/>
      <c r="B24" s="98">
        <v>5809.92</v>
      </c>
      <c r="C24" s="1" t="s">
        <v>140</v>
      </c>
      <c r="D24" s="121"/>
      <c r="E24" s="98">
        <v>174.44</v>
      </c>
    </row>
    <row r="25" spans="1:5" s="1" customFormat="1" ht="21">
      <c r="A25" s="22"/>
      <c r="B25" s="117">
        <v>410</v>
      </c>
      <c r="C25" s="1" t="s">
        <v>251</v>
      </c>
      <c r="D25" s="121"/>
      <c r="E25" s="98">
        <v>0</v>
      </c>
    </row>
    <row r="26" spans="1:5" s="1" customFormat="1" ht="21">
      <c r="A26" s="22"/>
      <c r="B26" s="117">
        <v>433600</v>
      </c>
      <c r="C26" s="1" t="s">
        <v>14</v>
      </c>
      <c r="D26" s="121"/>
      <c r="E26" s="98">
        <v>0</v>
      </c>
    </row>
    <row r="27" spans="1:5" s="1" customFormat="1" ht="21">
      <c r="A27" s="22"/>
      <c r="B27" s="98">
        <v>1963000</v>
      </c>
      <c r="C27" s="1" t="s">
        <v>327</v>
      </c>
      <c r="D27" s="121"/>
      <c r="E27" s="98">
        <v>0</v>
      </c>
    </row>
    <row r="28" spans="1:5" s="1" customFormat="1" ht="21">
      <c r="A28" s="22"/>
      <c r="B28" s="98">
        <v>20000</v>
      </c>
      <c r="C28" s="1" t="s">
        <v>315</v>
      </c>
      <c r="D28" s="121"/>
      <c r="E28" s="98">
        <v>0</v>
      </c>
    </row>
    <row r="29" spans="1:5" s="1" customFormat="1" ht="21">
      <c r="A29" s="22"/>
      <c r="B29" s="98">
        <v>29363</v>
      </c>
      <c r="C29" s="1" t="s">
        <v>328</v>
      </c>
      <c r="D29" s="121"/>
      <c r="E29" s="98">
        <v>29363</v>
      </c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SUM(B21:B31)</f>
        <v>11338281.97</v>
      </c>
      <c r="C32" s="126"/>
      <c r="D32" s="127"/>
      <c r="E32" s="125">
        <f>SUM(E21:E31)</f>
        <v>815631.5399999999</v>
      </c>
    </row>
    <row r="33" spans="1:5" s="1" customFormat="1" ht="21.75" thickBot="1">
      <c r="A33" s="22"/>
      <c r="B33" s="122">
        <f>B19+B32</f>
        <v>82277473.13</v>
      </c>
      <c r="C33" s="52"/>
      <c r="D33" s="128"/>
      <c r="E33" s="129">
        <f>E19+E32</f>
        <v>6402337.9799999995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85" t="s">
        <v>323</v>
      </c>
      <c r="B36" s="285"/>
      <c r="C36" s="285"/>
      <c r="D36" s="285"/>
      <c r="E36" s="285"/>
      <c r="F36" s="48"/>
    </row>
    <row r="37" spans="1:6" s="130" customFormat="1" ht="21">
      <c r="A37" s="277" t="s">
        <v>322</v>
      </c>
      <c r="B37" s="277"/>
      <c r="C37" s="277"/>
      <c r="D37" s="277"/>
      <c r="E37" s="277"/>
      <c r="F37" s="48"/>
    </row>
    <row r="38" spans="1:6" s="130" customFormat="1" ht="21">
      <c r="A38" s="277" t="s">
        <v>128</v>
      </c>
      <c r="B38" s="277"/>
      <c r="C38" s="277"/>
      <c r="D38" s="277"/>
      <c r="E38" s="277"/>
      <c r="F38" s="48"/>
    </row>
    <row r="39" spans="1:6" s="130" customFormat="1" ht="21">
      <c r="A39" s="207"/>
      <c r="B39" s="207"/>
      <c r="C39" s="207"/>
      <c r="D39" s="207"/>
      <c r="E39" s="207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93" t="s">
        <v>23</v>
      </c>
      <c r="B41" s="294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1929200</v>
      </c>
      <c r="B44" s="117">
        <v>1209690</v>
      </c>
      <c r="C44" s="1" t="s">
        <v>42</v>
      </c>
      <c r="D44" s="121">
        <v>510000</v>
      </c>
      <c r="E44" s="117">
        <v>25397</v>
      </c>
    </row>
    <row r="45" spans="1:5" s="1" customFormat="1" ht="21">
      <c r="A45" s="117"/>
      <c r="B45" s="117">
        <v>7354310</v>
      </c>
      <c r="C45" s="1" t="s">
        <v>324</v>
      </c>
      <c r="D45" s="121"/>
      <c r="E45" s="117">
        <v>727010</v>
      </c>
    </row>
    <row r="46" spans="1:5" s="1" customFormat="1" ht="21">
      <c r="A46" s="117">
        <v>3779640</v>
      </c>
      <c r="B46" s="117">
        <v>3149700</v>
      </c>
      <c r="C46" s="1" t="s">
        <v>110</v>
      </c>
      <c r="D46" s="121">
        <v>521000</v>
      </c>
      <c r="E46" s="117">
        <v>314970</v>
      </c>
    </row>
    <row r="47" spans="1:5" s="1" customFormat="1" ht="21">
      <c r="A47" s="117">
        <v>12521731</v>
      </c>
      <c r="B47" s="98">
        <v>9805269</v>
      </c>
      <c r="C47" s="1" t="s">
        <v>111</v>
      </c>
      <c r="D47" s="121">
        <v>522000</v>
      </c>
      <c r="E47" s="98">
        <v>907321</v>
      </c>
    </row>
    <row r="48" spans="1:5" s="1" customFormat="1" ht="21">
      <c r="A48" s="117"/>
      <c r="B48" s="98">
        <v>513000</v>
      </c>
      <c r="C48" s="1" t="s">
        <v>325</v>
      </c>
      <c r="D48" s="121"/>
      <c r="E48" s="98">
        <v>189000</v>
      </c>
    </row>
    <row r="49" spans="1:5" s="1" customFormat="1" ht="21">
      <c r="A49" s="98">
        <v>3712811.5</v>
      </c>
      <c r="B49" s="98">
        <v>876681.25</v>
      </c>
      <c r="C49" s="1" t="s">
        <v>7</v>
      </c>
      <c r="D49" s="121">
        <v>531000</v>
      </c>
      <c r="E49" s="98">
        <v>61060</v>
      </c>
    </row>
    <row r="50" spans="1:5" s="1" customFormat="1" ht="21">
      <c r="A50" s="98">
        <v>7805287.5</v>
      </c>
      <c r="B50" s="98">
        <v>5320207.55</v>
      </c>
      <c r="C50" s="1" t="s">
        <v>8</v>
      </c>
      <c r="D50" s="121">
        <v>532000</v>
      </c>
      <c r="E50" s="98">
        <v>418165.2</v>
      </c>
    </row>
    <row r="51" spans="1:5" s="1" customFormat="1" ht="21">
      <c r="A51" s="98">
        <v>4981840</v>
      </c>
      <c r="B51" s="98">
        <v>3021961.29</v>
      </c>
      <c r="C51" s="1" t="s">
        <v>9</v>
      </c>
      <c r="D51" s="121">
        <v>533000</v>
      </c>
      <c r="E51" s="98">
        <v>438750</v>
      </c>
    </row>
    <row r="52" spans="1:5" s="1" customFormat="1" ht="21">
      <c r="A52" s="98">
        <v>540000</v>
      </c>
      <c r="B52" s="98">
        <v>442222.51</v>
      </c>
      <c r="C52" s="1" t="s">
        <v>10</v>
      </c>
      <c r="D52" s="121">
        <v>534000</v>
      </c>
      <c r="E52" s="98">
        <v>51123.34</v>
      </c>
    </row>
    <row r="53" spans="1:5" s="1" customFormat="1" ht="21">
      <c r="A53" s="98">
        <v>2337300</v>
      </c>
      <c r="B53" s="98">
        <v>1550044.3</v>
      </c>
      <c r="C53" s="1" t="s">
        <v>12</v>
      </c>
      <c r="D53" s="121">
        <v>541000</v>
      </c>
      <c r="E53" s="98">
        <v>10000</v>
      </c>
    </row>
    <row r="54" spans="1:5" s="1" customFormat="1" ht="21">
      <c r="A54" s="98">
        <v>10273800</v>
      </c>
      <c r="B54" s="98">
        <v>3681200</v>
      </c>
      <c r="C54" s="1" t="s">
        <v>13</v>
      </c>
      <c r="D54" s="121">
        <v>542000</v>
      </c>
      <c r="E54" s="98">
        <v>29600</v>
      </c>
    </row>
    <row r="55" spans="1:5" s="1" customFormat="1" ht="21">
      <c r="A55" s="134">
        <v>6179600</v>
      </c>
      <c r="B55" s="134">
        <v>4030843.2</v>
      </c>
      <c r="C55" s="1" t="s">
        <v>11</v>
      </c>
      <c r="D55" s="121">
        <v>560000</v>
      </c>
      <c r="E55" s="134">
        <v>0</v>
      </c>
    </row>
    <row r="56" spans="1:5" s="1" customFormat="1" ht="21.75" thickBot="1">
      <c r="A56" s="123">
        <f>SUM(A44:A55)</f>
        <v>54061210</v>
      </c>
      <c r="B56" s="123">
        <f>SUM(B44:B55)</f>
        <v>40955129.10000001</v>
      </c>
      <c r="D56" s="120"/>
      <c r="E56" s="123">
        <f>SUM(E44:E55)</f>
        <v>3172396.54</v>
      </c>
    </row>
    <row r="57" spans="1:5" s="1" customFormat="1" ht="21.75" thickTop="1">
      <c r="A57" s="227" t="s">
        <v>261</v>
      </c>
      <c r="B57" s="98">
        <v>11559517.93</v>
      </c>
      <c r="C57" s="1" t="s">
        <v>14</v>
      </c>
      <c r="D57" s="121">
        <v>700</v>
      </c>
      <c r="E57" s="98">
        <v>4233.43</v>
      </c>
    </row>
    <row r="58" spans="1:5" s="1" customFormat="1" ht="21">
      <c r="A58" s="228">
        <v>240116</v>
      </c>
      <c r="B58" s="98">
        <v>1798215.65</v>
      </c>
      <c r="C58" s="1" t="s">
        <v>135</v>
      </c>
      <c r="D58" s="121">
        <v>900</v>
      </c>
      <c r="E58" s="98">
        <v>255448.46</v>
      </c>
    </row>
    <row r="59" spans="1:5" s="1" customFormat="1" ht="21">
      <c r="A59" s="135"/>
      <c r="B59" s="134">
        <v>1244187</v>
      </c>
      <c r="C59" s="1" t="s">
        <v>40</v>
      </c>
      <c r="D59" s="121" t="s">
        <v>69</v>
      </c>
      <c r="E59" s="134">
        <v>24178</v>
      </c>
    </row>
    <row r="60" spans="1:5" s="1" customFormat="1" ht="21">
      <c r="A60" s="22"/>
      <c r="B60" s="98">
        <v>56560</v>
      </c>
      <c r="C60" s="1" t="s">
        <v>136</v>
      </c>
      <c r="D60" s="121"/>
      <c r="E60" s="98">
        <v>0</v>
      </c>
    </row>
    <row r="61" spans="1:5" s="1" customFormat="1" ht="21">
      <c r="A61" s="22"/>
      <c r="B61" s="98">
        <v>13772514.42</v>
      </c>
      <c r="C61" s="1" t="s">
        <v>124</v>
      </c>
      <c r="D61" s="121">
        <v>600</v>
      </c>
      <c r="E61" s="98">
        <v>75000</v>
      </c>
    </row>
    <row r="62" spans="1:5" s="1" customFormat="1" ht="21">
      <c r="A62" s="22"/>
      <c r="B62" s="98">
        <v>1963000</v>
      </c>
      <c r="C62" s="1" t="s">
        <v>326</v>
      </c>
      <c r="D62" s="121"/>
      <c r="E62" s="98">
        <v>0</v>
      </c>
    </row>
    <row r="63" spans="1:5" s="1" customFormat="1" ht="21">
      <c r="A63" s="22"/>
      <c r="B63" s="98">
        <v>4745010</v>
      </c>
      <c r="C63" s="1" t="s">
        <v>137</v>
      </c>
      <c r="D63" s="121">
        <v>704</v>
      </c>
      <c r="E63" s="98">
        <v>66150</v>
      </c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98"/>
      <c r="D66" s="121"/>
      <c r="E66" s="98"/>
    </row>
    <row r="67" spans="1:5" s="1" customFormat="1" ht="21">
      <c r="A67" s="22"/>
      <c r="B67" s="125">
        <f>SUM(B57:B66)</f>
        <v>35139005</v>
      </c>
      <c r="D67" s="120"/>
      <c r="E67" s="125">
        <f>SUM(E57:E66)</f>
        <v>425009.89</v>
      </c>
    </row>
    <row r="68" spans="1:5" s="1" customFormat="1" ht="21">
      <c r="A68" s="22"/>
      <c r="B68" s="125">
        <f>B56+B67</f>
        <v>76094134.10000001</v>
      </c>
      <c r="C68" s="50" t="s">
        <v>43</v>
      </c>
      <c r="D68" s="120"/>
      <c r="E68" s="125">
        <f>E56+E67</f>
        <v>3597406.43</v>
      </c>
    </row>
    <row r="69" spans="1:5" s="1" customFormat="1" ht="21">
      <c r="A69" s="22"/>
      <c r="B69" s="118">
        <v>6183339.03</v>
      </c>
      <c r="C69" s="50" t="s">
        <v>44</v>
      </c>
      <c r="D69" s="127"/>
      <c r="E69" s="118">
        <v>2804931.55</v>
      </c>
    </row>
    <row r="70" spans="1:5" s="1" customFormat="1" ht="21">
      <c r="A70" s="22"/>
      <c r="B70" s="118"/>
      <c r="C70" s="50" t="s">
        <v>45</v>
      </c>
      <c r="D70" s="127"/>
      <c r="E70" s="118"/>
    </row>
    <row r="71" spans="1:5" s="1" customFormat="1" ht="21">
      <c r="A71" s="22"/>
      <c r="B71" s="136"/>
      <c r="C71" s="50" t="s">
        <v>158</v>
      </c>
      <c r="D71" s="127"/>
      <c r="E71" s="137"/>
    </row>
    <row r="72" spans="1:5" s="1" customFormat="1" ht="21.75" thickBot="1">
      <c r="A72" s="22"/>
      <c r="B72" s="122">
        <f>B8+B69-B71</f>
        <v>70483215.31</v>
      </c>
      <c r="C72" s="50" t="s">
        <v>46</v>
      </c>
      <c r="D72" s="128"/>
      <c r="E72" s="129">
        <f>E8+E69-E71</f>
        <v>70483215.31</v>
      </c>
    </row>
    <row r="73" spans="1:5" s="1" customFormat="1" ht="21.75" thickTop="1">
      <c r="A73" s="22"/>
      <c r="B73" s="138"/>
      <c r="C73" s="50"/>
      <c r="D73" s="60"/>
      <c r="E73" s="59"/>
    </row>
    <row r="74" spans="1:5" s="1" customFormat="1" ht="21">
      <c r="A74" s="22"/>
      <c r="B74" s="138"/>
      <c r="C74" s="50"/>
      <c r="D74" s="60"/>
      <c r="E74" s="59"/>
    </row>
    <row r="75" spans="1:5" s="1" customFormat="1" ht="21">
      <c r="A75" s="22"/>
      <c r="B75" s="138"/>
      <c r="C75" s="50"/>
      <c r="D75" s="60"/>
      <c r="E75" s="59"/>
    </row>
    <row r="76" spans="1:6" s="1" customFormat="1" ht="21">
      <c r="A76" s="285" t="s">
        <v>323</v>
      </c>
      <c r="B76" s="285"/>
      <c r="C76" s="285"/>
      <c r="D76" s="285"/>
      <c r="E76" s="285"/>
      <c r="F76" s="48"/>
    </row>
    <row r="77" spans="1:6" s="1" customFormat="1" ht="21">
      <c r="A77" s="277" t="s">
        <v>322</v>
      </c>
      <c r="B77" s="277"/>
      <c r="C77" s="277"/>
      <c r="D77" s="277"/>
      <c r="E77" s="277"/>
      <c r="F77" s="48"/>
    </row>
    <row r="78" spans="1:6" s="1" customFormat="1" ht="21">
      <c r="A78" s="277" t="s">
        <v>128</v>
      </c>
      <c r="B78" s="277"/>
      <c r="C78" s="277"/>
      <c r="D78" s="277"/>
      <c r="E78" s="277"/>
      <c r="F78" s="48"/>
    </row>
    <row r="79" spans="1:5" s="1" customFormat="1" ht="21">
      <c r="A79" s="290"/>
      <c r="B79" s="290"/>
      <c r="C79" s="290"/>
      <c r="D79" s="290"/>
      <c r="E79" s="290"/>
    </row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</sheetData>
  <sheetProtection/>
  <mergeCells count="13">
    <mergeCell ref="A1:E1"/>
    <mergeCell ref="A2:E2"/>
    <mergeCell ref="A3:E3"/>
    <mergeCell ref="A4:E4"/>
    <mergeCell ref="A79:E79"/>
    <mergeCell ref="A5:B5"/>
    <mergeCell ref="A41:B41"/>
    <mergeCell ref="A77:E77"/>
    <mergeCell ref="A76:E76"/>
    <mergeCell ref="A78:E78"/>
    <mergeCell ref="A36:E36"/>
    <mergeCell ref="A37:E37"/>
    <mergeCell ref="A38:E3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73"/>
  <sheetViews>
    <sheetView zoomScalePageLayoutView="0" workbookViewId="0" topLeftCell="A64">
      <selection activeCell="B68" sqref="B68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16" t="s">
        <v>74</v>
      </c>
      <c r="B1" s="317"/>
      <c r="C1" s="316" t="s">
        <v>52</v>
      </c>
      <c r="D1" s="317"/>
    </row>
    <row r="2" spans="1:4" s="3" customFormat="1" ht="23.25">
      <c r="A2" s="318" t="s">
        <v>53</v>
      </c>
      <c r="B2" s="319"/>
      <c r="C2" s="318" t="s">
        <v>237</v>
      </c>
      <c r="D2" s="319"/>
    </row>
    <row r="3" spans="1:4" s="3" customFormat="1" ht="23.25">
      <c r="A3" s="320" t="s">
        <v>54</v>
      </c>
      <c r="B3" s="321"/>
      <c r="C3" s="322"/>
      <c r="D3" s="323"/>
    </row>
    <row r="4" spans="1:4" s="3" customFormat="1" ht="23.25">
      <c r="A4" s="302" t="s">
        <v>300</v>
      </c>
      <c r="B4" s="303"/>
      <c r="C4" s="304"/>
      <c r="D4" s="5">
        <v>15995044.93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7"/>
      <c r="D7" s="189"/>
    </row>
    <row r="8" spans="1:4" s="3" customFormat="1" ht="23.25">
      <c r="A8" s="62"/>
      <c r="B8" s="62"/>
      <c r="C8" s="187"/>
      <c r="D8" s="20"/>
    </row>
    <row r="9" spans="1:4" s="3" customFormat="1" ht="23.25">
      <c r="A9" s="62"/>
      <c r="B9" s="188"/>
      <c r="C9" s="187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305" t="s">
        <v>62</v>
      </c>
      <c r="B13" s="306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307" t="s">
        <v>164</v>
      </c>
      <c r="B20" s="308"/>
      <c r="C20" s="309"/>
      <c r="D20" s="20">
        <v>224370.12</v>
      </c>
    </row>
    <row r="21" spans="1:4" s="3" customFormat="1" ht="23.25">
      <c r="A21" s="11"/>
      <c r="B21" s="12"/>
      <c r="C21" s="18"/>
      <c r="D21" s="20" t="s">
        <v>128</v>
      </c>
    </row>
    <row r="22" spans="1:4" s="3" customFormat="1" ht="23.25">
      <c r="A22" s="305" t="s">
        <v>60</v>
      </c>
      <c r="B22" s="306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233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10"/>
      <c r="B30" s="311"/>
      <c r="C30" s="312"/>
      <c r="D30" s="26" t="s">
        <v>128</v>
      </c>
    </row>
    <row r="31" spans="1:4" s="3" customFormat="1" ht="23.25">
      <c r="A31" s="313" t="s">
        <v>301</v>
      </c>
      <c r="B31" s="314"/>
      <c r="C31" s="315"/>
      <c r="D31" s="21">
        <v>15770674.81</v>
      </c>
    </row>
    <row r="32" spans="1:4" s="3" customFormat="1" ht="23.25">
      <c r="A32" s="14" t="s">
        <v>63</v>
      </c>
      <c r="B32" s="15"/>
      <c r="C32" s="14" t="s">
        <v>64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67</v>
      </c>
      <c r="B34" s="16"/>
      <c r="C34" s="10" t="s">
        <v>66</v>
      </c>
      <c r="D34" s="16"/>
    </row>
    <row r="35" spans="1:4" s="3" customFormat="1" ht="23.25">
      <c r="A35" s="298" t="s">
        <v>65</v>
      </c>
      <c r="B35" s="299"/>
      <c r="C35" s="298" t="s">
        <v>65</v>
      </c>
      <c r="D35" s="299"/>
    </row>
    <row r="36" spans="1:4" s="3" customFormat="1" ht="23.25">
      <c r="A36" s="298" t="s">
        <v>231</v>
      </c>
      <c r="B36" s="299"/>
      <c r="C36" s="298" t="s">
        <v>231</v>
      </c>
      <c r="D36" s="299"/>
    </row>
    <row r="37" spans="1:4" s="3" customFormat="1" ht="23.25">
      <c r="A37" s="300" t="s">
        <v>303</v>
      </c>
      <c r="B37" s="301"/>
      <c r="C37" s="300" t="s">
        <v>302</v>
      </c>
      <c r="D37" s="301"/>
    </row>
    <row r="38" spans="1:4" s="2" customFormat="1" ht="24">
      <c r="A38" s="316" t="s">
        <v>74</v>
      </c>
      <c r="B38" s="317"/>
      <c r="C38" s="316" t="s">
        <v>304</v>
      </c>
      <c r="D38" s="317"/>
    </row>
    <row r="39" spans="1:4" s="2" customFormat="1" ht="24">
      <c r="A39" s="318" t="s">
        <v>53</v>
      </c>
      <c r="B39" s="319"/>
      <c r="C39" s="318" t="s">
        <v>305</v>
      </c>
      <c r="D39" s="319"/>
    </row>
    <row r="40" spans="1:4" s="2" customFormat="1" ht="24">
      <c r="A40" s="320" t="s">
        <v>54</v>
      </c>
      <c r="B40" s="321"/>
      <c r="C40" s="322"/>
      <c r="D40" s="323"/>
    </row>
    <row r="41" spans="1:4" s="2" customFormat="1" ht="24">
      <c r="A41" s="302" t="s">
        <v>300</v>
      </c>
      <c r="B41" s="303"/>
      <c r="C41" s="304"/>
      <c r="D41" s="5">
        <v>11369904.73</v>
      </c>
    </row>
    <row r="42" spans="1:4" s="2" customFormat="1" ht="24">
      <c r="A42" s="6" t="s">
        <v>55</v>
      </c>
      <c r="B42" s="7"/>
      <c r="C42" s="16"/>
      <c r="D42" s="20"/>
    </row>
    <row r="43" spans="1:4" s="2" customFormat="1" ht="24">
      <c r="A43" s="8" t="s">
        <v>56</v>
      </c>
      <c r="B43" s="9" t="s">
        <v>57</v>
      </c>
      <c r="C43" s="61" t="s">
        <v>51</v>
      </c>
      <c r="D43" s="20"/>
    </row>
    <row r="44" spans="1:4" s="2" customFormat="1" ht="24">
      <c r="A44" s="62"/>
      <c r="B44" s="62"/>
      <c r="C44" s="187"/>
      <c r="D44" s="189"/>
    </row>
    <row r="45" spans="1:4" s="2" customFormat="1" ht="24">
      <c r="A45" s="62"/>
      <c r="B45" s="62"/>
      <c r="C45" s="187"/>
      <c r="D45" s="20"/>
    </row>
    <row r="46" spans="1:4" s="2" customFormat="1" ht="24">
      <c r="A46" s="62"/>
      <c r="B46" s="188"/>
      <c r="C46" s="187"/>
      <c r="D46" s="20"/>
    </row>
    <row r="47" spans="1:4" s="2" customFormat="1" ht="24">
      <c r="A47" s="8"/>
      <c r="B47" s="9"/>
      <c r="C47" s="61"/>
      <c r="D47" s="20"/>
    </row>
    <row r="48" spans="1:4" s="2" customFormat="1" ht="24">
      <c r="A48" s="8"/>
      <c r="B48" s="9"/>
      <c r="C48" s="61"/>
      <c r="D48" s="20"/>
    </row>
    <row r="49" spans="1:4" s="2" customFormat="1" ht="24">
      <c r="A49" s="11"/>
      <c r="B49" s="23"/>
      <c r="C49" s="18"/>
      <c r="D49" s="20"/>
    </row>
    <row r="50" spans="1:4" s="2" customFormat="1" ht="24">
      <c r="A50" s="305" t="s">
        <v>62</v>
      </c>
      <c r="B50" s="306"/>
      <c r="C50" s="18"/>
      <c r="D50" s="20"/>
    </row>
    <row r="51" spans="1:4" s="2" customFormat="1" ht="24">
      <c r="A51" s="8" t="s">
        <v>58</v>
      </c>
      <c r="B51" s="9" t="s">
        <v>59</v>
      </c>
      <c r="C51" s="61" t="s">
        <v>51</v>
      </c>
      <c r="D51" s="20"/>
    </row>
    <row r="52" spans="1:4" s="2" customFormat="1" ht="24">
      <c r="A52" s="62"/>
      <c r="B52" s="12"/>
      <c r="C52" s="18"/>
      <c r="D52" s="20"/>
    </row>
    <row r="53" spans="1:4" s="2" customFormat="1" ht="24">
      <c r="A53" s="62"/>
      <c r="B53" s="12"/>
      <c r="C53" s="18"/>
      <c r="D53" s="20"/>
    </row>
    <row r="54" spans="1:4" s="2" customFormat="1" ht="24">
      <c r="A54" s="6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307" t="s">
        <v>164</v>
      </c>
      <c r="B57" s="308"/>
      <c r="C57" s="309"/>
      <c r="D57" s="20">
        <v>17100</v>
      </c>
    </row>
    <row r="58" spans="1:4" s="2" customFormat="1" ht="24">
      <c r="A58" s="11"/>
      <c r="B58" s="12"/>
      <c r="C58" s="18"/>
      <c r="D58" s="20" t="s">
        <v>128</v>
      </c>
    </row>
    <row r="59" spans="1:4" s="2" customFormat="1" ht="24">
      <c r="A59" s="305" t="s">
        <v>60</v>
      </c>
      <c r="B59" s="306"/>
      <c r="C59" s="16"/>
      <c r="D59" s="20"/>
    </row>
    <row r="60" spans="1:4" s="2" customFormat="1" ht="24">
      <c r="A60" s="13" t="s">
        <v>61</v>
      </c>
      <c r="B60" s="7"/>
      <c r="C60" s="16"/>
      <c r="D60" s="20"/>
    </row>
    <row r="61" spans="1:4" s="2" customFormat="1" ht="24">
      <c r="A61" s="13" t="s">
        <v>233</v>
      </c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13"/>
      <c r="B65" s="7"/>
      <c r="C65" s="16"/>
      <c r="D65" s="20"/>
    </row>
    <row r="66" spans="1:4" s="2" customFormat="1" ht="24">
      <c r="A66" s="310"/>
      <c r="B66" s="311"/>
      <c r="C66" s="312"/>
      <c r="D66" s="26" t="s">
        <v>128</v>
      </c>
    </row>
    <row r="67" spans="1:4" s="2" customFormat="1" ht="24">
      <c r="A67" s="313" t="s">
        <v>301</v>
      </c>
      <c r="B67" s="314"/>
      <c r="C67" s="315"/>
      <c r="D67" s="21">
        <v>11352804.73</v>
      </c>
    </row>
    <row r="68" spans="1:4" s="2" customFormat="1" ht="24">
      <c r="A68" s="14" t="s">
        <v>63</v>
      </c>
      <c r="B68" s="15"/>
      <c r="C68" s="14" t="s">
        <v>64</v>
      </c>
      <c r="D68" s="17"/>
    </row>
    <row r="69" spans="1:4" s="2" customFormat="1" ht="24">
      <c r="A69" s="10"/>
      <c r="B69" s="16"/>
      <c r="C69" s="10"/>
      <c r="D69" s="18"/>
    </row>
    <row r="70" spans="1:4" s="2" customFormat="1" ht="24">
      <c r="A70" s="10" t="s">
        <v>67</v>
      </c>
      <c r="B70" s="16"/>
      <c r="C70" s="10" t="s">
        <v>66</v>
      </c>
      <c r="D70" s="16"/>
    </row>
    <row r="71" spans="1:4" s="2" customFormat="1" ht="24">
      <c r="A71" s="298" t="s">
        <v>65</v>
      </c>
      <c r="B71" s="299"/>
      <c r="C71" s="298" t="s">
        <v>65</v>
      </c>
      <c r="D71" s="299"/>
    </row>
    <row r="72" spans="1:4" s="2" customFormat="1" ht="24">
      <c r="A72" s="298" t="s">
        <v>231</v>
      </c>
      <c r="B72" s="299"/>
      <c r="C72" s="298" t="s">
        <v>231</v>
      </c>
      <c r="D72" s="299"/>
    </row>
    <row r="73" spans="1:4" s="2" customFormat="1" ht="24">
      <c r="A73" s="300" t="s">
        <v>303</v>
      </c>
      <c r="B73" s="301"/>
      <c r="C73" s="300" t="s">
        <v>302</v>
      </c>
      <c r="D73" s="301"/>
    </row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</sheetData>
  <sheetProtection/>
  <mergeCells count="36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31:C31"/>
    <mergeCell ref="A35:B35"/>
    <mergeCell ref="C35:D35"/>
    <mergeCell ref="A37:B37"/>
    <mergeCell ref="A30:C30"/>
    <mergeCell ref="C37:D37"/>
    <mergeCell ref="C36:D36"/>
    <mergeCell ref="A36:B36"/>
    <mergeCell ref="A38:B38"/>
    <mergeCell ref="C38:D38"/>
    <mergeCell ref="A39:B39"/>
    <mergeCell ref="C39:D39"/>
    <mergeCell ref="A40:B40"/>
    <mergeCell ref="C40:D40"/>
    <mergeCell ref="A41:C41"/>
    <mergeCell ref="A50:B50"/>
    <mergeCell ref="A57:C57"/>
    <mergeCell ref="A59:B59"/>
    <mergeCell ref="A66:C66"/>
    <mergeCell ref="A67:C67"/>
    <mergeCell ref="A71:B71"/>
    <mergeCell ref="C71:D71"/>
    <mergeCell ref="A72:B72"/>
    <mergeCell ref="C72:D72"/>
    <mergeCell ref="A73:B73"/>
    <mergeCell ref="C73:D7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1">
      <selection activeCell="C8" sqref="C8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75" t="s">
        <v>73</v>
      </c>
      <c r="B1" s="275"/>
      <c r="C1" s="275"/>
      <c r="D1" s="275"/>
      <c r="E1" s="275"/>
    </row>
    <row r="2" spans="1:5" ht="21.75">
      <c r="A2" s="295" t="s">
        <v>243</v>
      </c>
      <c r="B2" s="295"/>
      <c r="C2" s="295"/>
      <c r="D2" s="295"/>
      <c r="E2" s="295"/>
    </row>
    <row r="3" spans="1:5" ht="21.75">
      <c r="A3" s="275" t="s">
        <v>22</v>
      </c>
      <c r="B3" s="275"/>
      <c r="C3" s="275"/>
      <c r="D3" s="275"/>
      <c r="E3" s="275"/>
    </row>
    <row r="4" spans="1:5" ht="22.5" thickBot="1">
      <c r="A4" s="296" t="s">
        <v>259</v>
      </c>
      <c r="B4" s="297"/>
      <c r="C4" s="297"/>
      <c r="D4" s="297"/>
      <c r="E4" s="297"/>
    </row>
    <row r="5" spans="1:5" ht="22.5" thickTop="1">
      <c r="A5" s="291" t="s">
        <v>23</v>
      </c>
      <c r="B5" s="292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66882259.91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2798358.7</v>
      </c>
      <c r="C10" s="1" t="s">
        <v>33</v>
      </c>
      <c r="D10" s="121">
        <v>411000</v>
      </c>
      <c r="E10" s="98">
        <v>146791.87</v>
      </c>
    </row>
    <row r="11" spans="1:5" ht="21.75">
      <c r="A11" s="117">
        <v>662000</v>
      </c>
      <c r="B11" s="98">
        <v>677744.6</v>
      </c>
      <c r="C11" s="1" t="s">
        <v>34</v>
      </c>
      <c r="D11" s="121">
        <v>412000</v>
      </c>
      <c r="E11" s="98">
        <v>101624.2</v>
      </c>
    </row>
    <row r="12" spans="1:5" ht="21.75">
      <c r="A12" s="117">
        <v>550000</v>
      </c>
      <c r="B12" s="98">
        <v>476836.8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83830</v>
      </c>
      <c r="C14" s="1" t="s">
        <v>37</v>
      </c>
      <c r="D14" s="121">
        <v>415000</v>
      </c>
      <c r="E14" s="98">
        <v>3530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29618465.79</v>
      </c>
      <c r="C16" s="1" t="s">
        <v>39</v>
      </c>
      <c r="D16" s="121">
        <v>421000</v>
      </c>
      <c r="E16" s="98">
        <v>4086123.56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44009791.89</v>
      </c>
      <c r="C18" s="1"/>
      <c r="D18" s="120"/>
      <c r="E18" s="123">
        <f>SUM(E10:E17)</f>
        <v>4338069.63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2179542.87</v>
      </c>
      <c r="C20" s="1" t="s">
        <v>135</v>
      </c>
      <c r="D20" s="121">
        <v>900</v>
      </c>
      <c r="E20" s="117">
        <v>309963.05</v>
      </c>
    </row>
    <row r="21" spans="1:5" ht="21.75">
      <c r="A21" s="22"/>
      <c r="B21" s="117">
        <v>1104079</v>
      </c>
      <c r="C21" s="1" t="s">
        <v>40</v>
      </c>
      <c r="D21" s="121" t="s">
        <v>69</v>
      </c>
      <c r="E21" s="117">
        <v>41554</v>
      </c>
    </row>
    <row r="22" spans="1:5" ht="21.75">
      <c r="A22" s="22"/>
      <c r="B22" s="117">
        <v>4482300</v>
      </c>
      <c r="C22" s="1" t="s">
        <v>133</v>
      </c>
      <c r="D22" s="121"/>
      <c r="E22" s="117">
        <v>0</v>
      </c>
    </row>
    <row r="23" spans="1:5" ht="21.75">
      <c r="A23" s="22"/>
      <c r="B23" s="117">
        <v>10998980</v>
      </c>
      <c r="C23" s="1" t="s">
        <v>134</v>
      </c>
      <c r="D23" s="120"/>
      <c r="E23" s="117">
        <v>0</v>
      </c>
    </row>
    <row r="24" spans="1:5" ht="21.75">
      <c r="A24" s="22"/>
      <c r="B24" s="98">
        <v>5381.83</v>
      </c>
      <c r="C24" s="1" t="s">
        <v>140</v>
      </c>
      <c r="D24" s="121"/>
      <c r="E24" s="98">
        <v>133.5</v>
      </c>
    </row>
    <row r="25" spans="1:5" ht="21.75">
      <c r="A25" s="22"/>
      <c r="B25" s="117">
        <v>410</v>
      </c>
      <c r="C25" s="1" t="s">
        <v>251</v>
      </c>
      <c r="D25" s="121"/>
      <c r="E25" s="98">
        <v>0</v>
      </c>
    </row>
    <row r="26" spans="1:5" ht="21.75">
      <c r="A26" s="22"/>
      <c r="B26" s="117">
        <v>1100</v>
      </c>
      <c r="C26" s="1" t="s">
        <v>14</v>
      </c>
      <c r="D26" s="121"/>
      <c r="E26" s="98">
        <v>1100</v>
      </c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18771793.7</v>
      </c>
      <c r="C32" s="126"/>
      <c r="D32" s="127"/>
      <c r="E32" s="125">
        <f>SUM(E20:E31)</f>
        <v>352750.55</v>
      </c>
    </row>
    <row r="33" spans="1:5" ht="22.5" thickBot="1">
      <c r="A33" s="22"/>
      <c r="B33" s="122">
        <f>B18+B32</f>
        <v>62781585.59</v>
      </c>
      <c r="C33" s="52"/>
      <c r="D33" s="128"/>
      <c r="E33" s="129">
        <f>E18+E32</f>
        <v>4690820.18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85"/>
      <c r="B36" s="285"/>
      <c r="C36" s="285"/>
      <c r="D36" s="285"/>
      <c r="E36" s="285"/>
    </row>
    <row r="37" spans="1:5" ht="21.75">
      <c r="A37" s="277"/>
      <c r="B37" s="277"/>
      <c r="C37" s="277"/>
      <c r="D37" s="277"/>
      <c r="E37" s="277"/>
    </row>
    <row r="38" spans="1:5" ht="21.75">
      <c r="A38" s="277"/>
      <c r="B38" s="277"/>
      <c r="C38" s="277"/>
      <c r="D38" s="277"/>
      <c r="E38" s="277"/>
    </row>
    <row r="39" spans="1:5" ht="21.75">
      <c r="A39" s="207"/>
      <c r="B39" s="207"/>
      <c r="C39" s="207"/>
      <c r="D39" s="207"/>
      <c r="E39" s="207"/>
    </row>
    <row r="40" spans="1:5" ht="21.75">
      <c r="A40" s="110"/>
      <c r="B40" s="110"/>
      <c r="C40" s="110"/>
      <c r="D40" s="110"/>
      <c r="E40" s="110"/>
    </row>
    <row r="41" spans="1:5" ht="21.75">
      <c r="A41" s="293" t="s">
        <v>23</v>
      </c>
      <c r="B41" s="294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1929200</v>
      </c>
      <c r="B44" s="117">
        <v>833664</v>
      </c>
      <c r="C44" s="1" t="s">
        <v>42</v>
      </c>
      <c r="D44" s="121">
        <v>510000</v>
      </c>
      <c r="E44" s="117">
        <v>52280</v>
      </c>
    </row>
    <row r="45" spans="1:5" ht="21.75">
      <c r="A45" s="117">
        <v>10867201</v>
      </c>
      <c r="B45" s="117">
        <v>7189959</v>
      </c>
      <c r="C45" s="1" t="s">
        <v>142</v>
      </c>
      <c r="D45" s="121"/>
      <c r="E45" s="117">
        <v>856787</v>
      </c>
    </row>
    <row r="46" spans="1:5" ht="21.75">
      <c r="A46" s="117">
        <v>5434170</v>
      </c>
      <c r="B46" s="98">
        <v>3288154</v>
      </c>
      <c r="C46" s="1" t="s">
        <v>141</v>
      </c>
      <c r="D46" s="121"/>
      <c r="E46" s="98">
        <v>414784</v>
      </c>
    </row>
    <row r="47" spans="1:5" ht="21.75">
      <c r="A47" s="98">
        <v>3712811.5</v>
      </c>
      <c r="B47" s="98">
        <v>739326.25</v>
      </c>
      <c r="C47" s="1" t="s">
        <v>7</v>
      </c>
      <c r="D47" s="121">
        <v>531000</v>
      </c>
      <c r="E47" s="98">
        <v>63269</v>
      </c>
    </row>
    <row r="48" spans="1:5" ht="21.75">
      <c r="A48" s="98">
        <v>7805287.5</v>
      </c>
      <c r="B48" s="98">
        <v>4644405.31</v>
      </c>
      <c r="C48" s="1" t="s">
        <v>8</v>
      </c>
      <c r="D48" s="121">
        <v>532000</v>
      </c>
      <c r="E48" s="98">
        <v>409434.19</v>
      </c>
    </row>
    <row r="49" spans="1:5" ht="21.75">
      <c r="A49" s="98">
        <v>4981840</v>
      </c>
      <c r="B49" s="98">
        <v>2353733.29</v>
      </c>
      <c r="C49" s="1" t="s">
        <v>9</v>
      </c>
      <c r="D49" s="121">
        <v>533000</v>
      </c>
      <c r="E49" s="98">
        <v>640347.69</v>
      </c>
    </row>
    <row r="50" spans="1:5" ht="21.75">
      <c r="A50" s="98">
        <v>540000</v>
      </c>
      <c r="B50" s="98">
        <v>333795.36</v>
      </c>
      <c r="C50" s="1" t="s">
        <v>10</v>
      </c>
      <c r="D50" s="121">
        <v>534000</v>
      </c>
      <c r="E50" s="98">
        <v>47779.42</v>
      </c>
    </row>
    <row r="51" spans="1:5" ht="21.75">
      <c r="A51" s="98">
        <v>2337300</v>
      </c>
      <c r="B51" s="98">
        <v>1422344.3</v>
      </c>
      <c r="C51" s="1" t="s">
        <v>12</v>
      </c>
      <c r="D51" s="121">
        <v>541000</v>
      </c>
      <c r="E51" s="98">
        <v>20379.31</v>
      </c>
    </row>
    <row r="52" spans="1:5" ht="21.75">
      <c r="A52" s="98">
        <v>10273800</v>
      </c>
      <c r="B52" s="98">
        <v>1959000</v>
      </c>
      <c r="C52" s="1" t="s">
        <v>13</v>
      </c>
      <c r="D52" s="121">
        <v>542000</v>
      </c>
      <c r="E52" s="98">
        <v>1959000</v>
      </c>
    </row>
    <row r="53" spans="1:5" ht="21.75">
      <c r="A53" s="134">
        <v>6179600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54061210</v>
      </c>
      <c r="B54" s="123">
        <f>SUM(B44:B53)</f>
        <v>24677224.709999997</v>
      </c>
      <c r="C54" s="1"/>
      <c r="D54" s="120"/>
      <c r="E54" s="123">
        <f>SUM(E44:E53)</f>
        <v>4464060.609999999</v>
      </c>
    </row>
    <row r="55" spans="1:5" ht="22.5" thickTop="1">
      <c r="A55" s="227" t="s">
        <v>261</v>
      </c>
      <c r="B55" s="98">
        <v>11555284.5</v>
      </c>
      <c r="C55" s="1" t="s">
        <v>14</v>
      </c>
      <c r="D55" s="121">
        <v>700</v>
      </c>
      <c r="E55" s="98">
        <v>0</v>
      </c>
    </row>
    <row r="56" spans="1:5" ht="21.75">
      <c r="A56" s="228">
        <v>240116</v>
      </c>
      <c r="B56" s="98">
        <v>1257750.25</v>
      </c>
      <c r="C56" s="1" t="s">
        <v>135</v>
      </c>
      <c r="D56" s="121">
        <v>900</v>
      </c>
      <c r="E56" s="98">
        <v>131640.49</v>
      </c>
    </row>
    <row r="57" spans="1:5" ht="21.75">
      <c r="A57" s="135"/>
      <c r="B57" s="134">
        <v>1115337</v>
      </c>
      <c r="C57" s="1" t="s">
        <v>40</v>
      </c>
      <c r="D57" s="121" t="s">
        <v>69</v>
      </c>
      <c r="E57" s="134">
        <v>18048</v>
      </c>
    </row>
    <row r="58" spans="1:5" ht="21.75">
      <c r="A58" s="22"/>
      <c r="B58" s="98">
        <v>56560</v>
      </c>
      <c r="C58" s="1" t="s">
        <v>136</v>
      </c>
      <c r="D58" s="121"/>
      <c r="E58" s="98">
        <v>0</v>
      </c>
    </row>
    <row r="59" spans="1:5" ht="21.75">
      <c r="A59" s="22"/>
      <c r="B59" s="98">
        <v>11039614.42</v>
      </c>
      <c r="C59" s="1" t="s">
        <v>124</v>
      </c>
      <c r="D59" s="121">
        <v>600</v>
      </c>
      <c r="E59" s="98">
        <v>1433660</v>
      </c>
    </row>
    <row r="60" spans="1:5" ht="21.75">
      <c r="A60" s="22"/>
      <c r="B60" s="98">
        <v>8031800</v>
      </c>
      <c r="C60" s="1" t="s">
        <v>126</v>
      </c>
      <c r="D60" s="121"/>
      <c r="E60" s="98">
        <v>725600</v>
      </c>
    </row>
    <row r="61" spans="1:5" ht="21.75">
      <c r="A61" s="22"/>
      <c r="B61" s="134">
        <v>4613340</v>
      </c>
      <c r="C61" s="1" t="s">
        <v>137</v>
      </c>
      <c r="D61" s="121">
        <v>704</v>
      </c>
      <c r="E61" s="134">
        <v>65520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37669686.17</v>
      </c>
      <c r="C66" s="1"/>
      <c r="D66" s="120"/>
      <c r="E66" s="125">
        <f>SUM(E55:E65)</f>
        <v>2374468.49</v>
      </c>
    </row>
    <row r="67" spans="1:5" ht="21.75">
      <c r="A67" s="22"/>
      <c r="B67" s="125">
        <f>B54+B66</f>
        <v>62346910.879999995</v>
      </c>
      <c r="C67" s="50" t="s">
        <v>43</v>
      </c>
      <c r="D67" s="120"/>
      <c r="E67" s="125">
        <f>E54+E66</f>
        <v>6838529.1</v>
      </c>
    </row>
    <row r="68" spans="1:5" ht="21.75">
      <c r="A68" s="22"/>
      <c r="B68" s="118">
        <v>434674.71</v>
      </c>
      <c r="C68" s="50" t="s">
        <v>44</v>
      </c>
      <c r="D68" s="127"/>
      <c r="E68" s="118"/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6"/>
      <c r="C70" s="50" t="s">
        <v>158</v>
      </c>
      <c r="D70" s="127"/>
      <c r="E70" s="137">
        <v>2147708.92</v>
      </c>
    </row>
    <row r="71" spans="1:5" ht="22.5" thickBot="1">
      <c r="A71" s="22"/>
      <c r="B71" s="122">
        <f>B8+B68-B70</f>
        <v>64734550.99</v>
      </c>
      <c r="C71" s="50" t="s">
        <v>46</v>
      </c>
      <c r="D71" s="128"/>
      <c r="E71" s="129">
        <f>E8+E68-E70</f>
        <v>64734550.989999995</v>
      </c>
    </row>
    <row r="72" spans="1:5" ht="22.5" thickTop="1">
      <c r="A72" s="22"/>
      <c r="B72" s="138"/>
      <c r="C72" s="50"/>
      <c r="D72" s="60"/>
      <c r="E72" s="59"/>
    </row>
    <row r="73" spans="1:5" ht="21.75">
      <c r="A73" s="22"/>
      <c r="B73" s="138"/>
      <c r="C73" s="50"/>
      <c r="D73" s="60"/>
      <c r="E73" s="59"/>
    </row>
    <row r="74" spans="1:5" ht="21.75">
      <c r="A74" s="22"/>
      <c r="B74" s="138"/>
      <c r="C74" s="50"/>
      <c r="D74" s="60"/>
      <c r="E74" s="59"/>
    </row>
    <row r="75" spans="1:5" ht="21.75">
      <c r="A75" s="324"/>
      <c r="B75" s="324"/>
      <c r="C75" s="324"/>
      <c r="D75" s="324"/>
      <c r="E75" s="324"/>
    </row>
    <row r="76" spans="1:5" ht="21.75">
      <c r="A76" s="290"/>
      <c r="B76" s="290"/>
      <c r="C76" s="290"/>
      <c r="D76" s="290"/>
      <c r="E76" s="290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7:E37"/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D38" sqref="D38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8" t="s">
        <v>71</v>
      </c>
      <c r="B1" s="278"/>
      <c r="C1" s="278"/>
      <c r="D1" s="278"/>
    </row>
    <row r="2" spans="1:4" ht="21.75">
      <c r="A2" s="278" t="s">
        <v>77</v>
      </c>
      <c r="B2" s="278"/>
      <c r="C2" s="278"/>
      <c r="D2" s="278"/>
    </row>
    <row r="3" spans="1:4" ht="21.75">
      <c r="A3" s="278" t="s">
        <v>258</v>
      </c>
      <c r="B3" s="278"/>
      <c r="C3" s="278"/>
      <c r="D3" s="278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4086472.76</v>
      </c>
      <c r="D6" s="34"/>
    </row>
    <row r="7" spans="1:4" ht="21.75">
      <c r="A7" s="32" t="s">
        <v>72</v>
      </c>
      <c r="B7" s="33" t="s">
        <v>20</v>
      </c>
      <c r="C7" s="34">
        <v>4452937.73</v>
      </c>
      <c r="D7" s="34"/>
    </row>
    <row r="8" spans="1:4" ht="21.75">
      <c r="A8" s="32" t="s">
        <v>256</v>
      </c>
      <c r="B8" s="33" t="s">
        <v>21</v>
      </c>
      <c r="C8" s="34">
        <v>17029072.93</v>
      </c>
      <c r="D8" s="34"/>
    </row>
    <row r="9" spans="1:4" ht="21.75">
      <c r="A9" s="32" t="s">
        <v>238</v>
      </c>
      <c r="B9" s="33" t="s">
        <v>20</v>
      </c>
      <c r="C9" s="34">
        <v>18702937.32</v>
      </c>
      <c r="D9" s="34"/>
    </row>
    <row r="10" spans="1:4" ht="21.75">
      <c r="A10" s="32" t="s">
        <v>239</v>
      </c>
      <c r="B10" s="33" t="s">
        <v>20</v>
      </c>
      <c r="C10" s="34">
        <v>227486.41</v>
      </c>
      <c r="D10" s="34"/>
    </row>
    <row r="11" spans="1:4" ht="21.75">
      <c r="A11" s="32" t="s">
        <v>236</v>
      </c>
      <c r="B11" s="33" t="s">
        <v>21</v>
      </c>
      <c r="C11" s="34">
        <v>20235643.84</v>
      </c>
      <c r="D11" s="34"/>
    </row>
    <row r="12" spans="1:4" ht="21.75">
      <c r="A12" s="32" t="s">
        <v>139</v>
      </c>
      <c r="B12" s="33" t="s">
        <v>187</v>
      </c>
      <c r="C12" s="34">
        <v>60000</v>
      </c>
      <c r="D12" s="34"/>
    </row>
    <row r="13" spans="1:4" ht="21.75">
      <c r="A13" s="32" t="s">
        <v>140</v>
      </c>
      <c r="B13" s="33" t="s">
        <v>188</v>
      </c>
      <c r="C13" s="34">
        <v>70436.38</v>
      </c>
      <c r="D13" s="34"/>
    </row>
    <row r="14" spans="1:4" ht="21.75">
      <c r="A14" s="32" t="s">
        <v>5</v>
      </c>
      <c r="B14" s="33" t="s">
        <v>69</v>
      </c>
      <c r="C14" s="35">
        <v>11258</v>
      </c>
      <c r="D14" s="34"/>
    </row>
    <row r="15" spans="1:4" ht="21.75">
      <c r="A15" s="32" t="s">
        <v>132</v>
      </c>
      <c r="B15" s="33">
        <v>704</v>
      </c>
      <c r="C15" s="35">
        <v>131040</v>
      </c>
      <c r="D15" s="34"/>
    </row>
    <row r="16" spans="1:4" ht="21.75">
      <c r="A16" s="32" t="s">
        <v>6</v>
      </c>
      <c r="B16" s="33">
        <v>510000</v>
      </c>
      <c r="C16" s="35">
        <v>833664</v>
      </c>
      <c r="D16" s="34"/>
    </row>
    <row r="17" spans="1:4" ht="21.75">
      <c r="A17" s="32" t="s">
        <v>142</v>
      </c>
      <c r="B17" s="33"/>
      <c r="C17" s="34">
        <v>7189959</v>
      </c>
      <c r="D17" s="34"/>
    </row>
    <row r="18" spans="1:4" ht="21.75">
      <c r="A18" s="32" t="s">
        <v>141</v>
      </c>
      <c r="B18" s="33"/>
      <c r="C18" s="34">
        <v>3288154</v>
      </c>
      <c r="D18" s="34"/>
    </row>
    <row r="19" spans="1:4" ht="21.75">
      <c r="A19" s="32" t="s">
        <v>7</v>
      </c>
      <c r="B19" s="33">
        <v>531000</v>
      </c>
      <c r="C19" s="34">
        <v>739326.25</v>
      </c>
      <c r="D19" s="34"/>
    </row>
    <row r="20" spans="1:4" ht="21.75">
      <c r="A20" s="32" t="s">
        <v>8</v>
      </c>
      <c r="B20" s="33">
        <v>532000</v>
      </c>
      <c r="C20" s="34">
        <v>4644405.31</v>
      </c>
      <c r="D20" s="34"/>
    </row>
    <row r="21" spans="1:4" ht="21.75">
      <c r="A21" s="32" t="s">
        <v>9</v>
      </c>
      <c r="B21" s="33">
        <v>533000</v>
      </c>
      <c r="C21" s="34">
        <v>2353733.29</v>
      </c>
      <c r="D21" s="34"/>
    </row>
    <row r="22" spans="1:4" ht="21.75">
      <c r="A22" s="32" t="s">
        <v>10</v>
      </c>
      <c r="B22" s="33">
        <v>534000</v>
      </c>
      <c r="C22" s="34">
        <v>333795.36</v>
      </c>
      <c r="D22" s="34"/>
    </row>
    <row r="23" spans="1:4" ht="21.75">
      <c r="A23" s="32" t="s">
        <v>12</v>
      </c>
      <c r="B23" s="33">
        <v>541000</v>
      </c>
      <c r="C23" s="34">
        <v>1422344.3</v>
      </c>
      <c r="D23" s="34"/>
    </row>
    <row r="24" spans="1:4" ht="21.75">
      <c r="A24" s="32" t="s">
        <v>13</v>
      </c>
      <c r="B24" s="33">
        <v>542000</v>
      </c>
      <c r="C24" s="34">
        <v>1959000</v>
      </c>
      <c r="D24" s="34"/>
    </row>
    <row r="25" spans="1:4" ht="21.75">
      <c r="A25" s="32" t="s">
        <v>11</v>
      </c>
      <c r="B25" s="33">
        <v>560000</v>
      </c>
      <c r="C25" s="34">
        <v>1912843.2</v>
      </c>
      <c r="D25" s="34"/>
    </row>
    <row r="26" spans="1:4" ht="21.75">
      <c r="A26" s="32" t="s">
        <v>118</v>
      </c>
      <c r="B26" s="33">
        <v>821</v>
      </c>
      <c r="C26" s="192"/>
      <c r="D26" s="193">
        <v>44009791.89</v>
      </c>
    </row>
    <row r="27" spans="1:4" ht="21.75">
      <c r="A27" s="32" t="s">
        <v>14</v>
      </c>
      <c r="B27" s="33">
        <v>700</v>
      </c>
      <c r="C27" s="34"/>
      <c r="D27" s="34">
        <v>12551951.32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119</v>
      </c>
      <c r="B29" s="33">
        <v>900</v>
      </c>
      <c r="C29" s="34"/>
      <c r="D29" s="34">
        <v>2191179.82</v>
      </c>
    </row>
    <row r="30" spans="1:4" ht="21.75">
      <c r="A30" s="32" t="s">
        <v>120</v>
      </c>
      <c r="B30" s="33"/>
      <c r="C30" s="34"/>
      <c r="D30" s="34">
        <v>1946149</v>
      </c>
    </row>
    <row r="31" spans="1:4" ht="21.75">
      <c r="A31" s="32" t="s">
        <v>121</v>
      </c>
      <c r="B31" s="33">
        <v>600</v>
      </c>
      <c r="C31" s="34"/>
      <c r="D31" s="34">
        <v>6010630</v>
      </c>
    </row>
    <row r="32" spans="1:4" ht="21.75">
      <c r="A32" s="32" t="s">
        <v>125</v>
      </c>
      <c r="B32" s="33"/>
      <c r="C32" s="34"/>
      <c r="D32" s="34">
        <v>2967180</v>
      </c>
    </row>
    <row r="33" spans="1:4" ht="21.75">
      <c r="A33" s="32" t="s">
        <v>251</v>
      </c>
      <c r="B33" s="108"/>
      <c r="C33" s="34"/>
      <c r="D33" s="34">
        <v>410</v>
      </c>
    </row>
    <row r="34" spans="1:4" ht="21.75">
      <c r="A34" s="109" t="s">
        <v>244</v>
      </c>
      <c r="B34" s="108"/>
      <c r="C34" s="34"/>
      <c r="D34" s="34">
        <v>0</v>
      </c>
    </row>
    <row r="35" spans="1:4" ht="22.5" thickBot="1">
      <c r="A35" s="36" t="s">
        <v>18</v>
      </c>
      <c r="B35" s="37"/>
      <c r="C35" s="38">
        <f>SUM(C5:C32)</f>
        <v>89684510.08000001</v>
      </c>
      <c r="D35" s="38">
        <f>SUM(D5:D34)</f>
        <v>89684510.08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76"/>
      <c r="B39" s="276"/>
      <c r="C39" s="276"/>
      <c r="D39" s="276"/>
    </row>
    <row r="40" spans="1:4" ht="21.75">
      <c r="A40" s="276"/>
      <c r="B40" s="276"/>
      <c r="C40" s="276"/>
      <c r="D40" s="276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34" sqref="C34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6" t="s">
        <v>143</v>
      </c>
      <c r="B1" s="326"/>
      <c r="C1" s="326"/>
      <c r="D1" s="326"/>
      <c r="E1" s="326"/>
    </row>
    <row r="2" spans="1:5" ht="23.25">
      <c r="A2" s="326" t="s">
        <v>247</v>
      </c>
      <c r="B2" s="326"/>
      <c r="C2" s="326"/>
      <c r="D2" s="326"/>
      <c r="E2" s="326"/>
    </row>
    <row r="3" spans="1:5" ht="23.25">
      <c r="A3" s="326" t="s">
        <v>299</v>
      </c>
      <c r="B3" s="326"/>
      <c r="C3" s="326"/>
      <c r="D3" s="326"/>
      <c r="E3" s="326"/>
    </row>
    <row r="4" spans="1:5" ht="23.25">
      <c r="A4" s="64" t="s">
        <v>78</v>
      </c>
      <c r="B4" s="64" t="s">
        <v>27</v>
      </c>
      <c r="C4" s="64" t="s">
        <v>144</v>
      </c>
      <c r="D4" s="64" t="s">
        <v>145</v>
      </c>
      <c r="E4" s="64" t="s">
        <v>146</v>
      </c>
    </row>
    <row r="5" spans="1:5" ht="23.25">
      <c r="A5" s="65"/>
      <c r="B5" s="66"/>
      <c r="C5" s="66"/>
      <c r="D5" s="66" t="s">
        <v>147</v>
      </c>
      <c r="E5" s="66" t="s">
        <v>148</v>
      </c>
    </row>
    <row r="6" spans="1:5" ht="23.25">
      <c r="A6" s="67" t="s">
        <v>149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2830950.62</v>
      </c>
      <c r="D7" s="73" t="s">
        <v>147</v>
      </c>
      <c r="E7" s="72">
        <f>B7-C7</f>
        <v>449049.3799999999</v>
      </c>
    </row>
    <row r="8" spans="1:5" ht="23.25">
      <c r="A8" s="70" t="s">
        <v>150</v>
      </c>
      <c r="B8" s="71">
        <v>662000</v>
      </c>
      <c r="C8" s="72">
        <v>953446</v>
      </c>
      <c r="D8" s="73" t="s">
        <v>294</v>
      </c>
      <c r="E8" s="72">
        <f>B8-C8</f>
        <v>-291446</v>
      </c>
    </row>
    <row r="9" spans="1:5" ht="23.25">
      <c r="A9" s="70" t="s">
        <v>35</v>
      </c>
      <c r="B9" s="71">
        <v>550000</v>
      </c>
      <c r="C9" s="72">
        <v>740221.08</v>
      </c>
      <c r="D9" s="73" t="s">
        <v>147</v>
      </c>
      <c r="E9" s="72">
        <f>B9-C9</f>
        <v>-190221.07999999996</v>
      </c>
    </row>
    <row r="10" spans="1:5" ht="23.25">
      <c r="A10" s="70" t="s">
        <v>36</v>
      </c>
      <c r="B10" s="71">
        <v>0</v>
      </c>
      <c r="C10" s="74"/>
      <c r="D10" s="73" t="s">
        <v>147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133230</v>
      </c>
      <c r="D11" s="73" t="s">
        <v>294</v>
      </c>
      <c r="E11" s="72">
        <f t="shared" si="0"/>
        <v>-63230</v>
      </c>
    </row>
    <row r="12" spans="1:5" ht="23.25">
      <c r="A12" s="70" t="s">
        <v>38</v>
      </c>
      <c r="B12" s="71">
        <v>0</v>
      </c>
      <c r="C12" s="74"/>
      <c r="D12" s="73" t="s">
        <v>147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46511255.81</v>
      </c>
      <c r="D13" s="73" t="s">
        <v>147</v>
      </c>
      <c r="E13" s="72">
        <f t="shared" si="0"/>
        <v>-7882045.810000002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147</v>
      </c>
      <c r="E14" s="72">
        <f t="shared" si="0"/>
        <v>515444</v>
      </c>
    </row>
    <row r="15" spans="1:5" ht="24" thickBot="1">
      <c r="A15" s="77" t="s">
        <v>151</v>
      </c>
      <c r="B15" s="78">
        <f>SUM(B7:B14)</f>
        <v>54061210</v>
      </c>
      <c r="C15" s="79">
        <f>SUM(C7:C14)</f>
        <v>61523659.510000005</v>
      </c>
      <c r="D15" s="191" t="s">
        <v>250</v>
      </c>
      <c r="E15" s="80">
        <f t="shared" si="0"/>
        <v>-7462449.510000005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152</v>
      </c>
      <c r="D17" s="64" t="s">
        <v>145</v>
      </c>
      <c r="E17" s="64" t="s">
        <v>146</v>
      </c>
    </row>
    <row r="18" spans="1:5" ht="23.25">
      <c r="A18" s="65"/>
      <c r="B18" s="66"/>
      <c r="C18" s="66"/>
      <c r="D18" s="66" t="s">
        <v>147</v>
      </c>
      <c r="E18" s="66" t="s">
        <v>148</v>
      </c>
    </row>
    <row r="19" spans="1:5" ht="23.25">
      <c r="A19" s="67" t="s">
        <v>153</v>
      </c>
      <c r="B19" s="71"/>
      <c r="C19" s="82"/>
      <c r="D19" s="71"/>
      <c r="E19" s="82"/>
    </row>
    <row r="20" spans="1:5" ht="23.25">
      <c r="A20" s="70" t="s">
        <v>42</v>
      </c>
      <c r="B20" s="53">
        <v>1929200</v>
      </c>
      <c r="C20" s="53">
        <v>859061</v>
      </c>
      <c r="D20" s="75"/>
      <c r="E20" s="72">
        <f aca="true" t="shared" si="1" ref="E20:E30">B20-C20</f>
        <v>1070139</v>
      </c>
    </row>
    <row r="21" spans="1:5" ht="23.25">
      <c r="A21" s="70" t="s">
        <v>110</v>
      </c>
      <c r="B21" s="53">
        <v>3779640</v>
      </c>
      <c r="C21" s="53">
        <v>2834730</v>
      </c>
      <c r="D21" s="75"/>
      <c r="E21" s="72">
        <f t="shared" si="1"/>
        <v>944910</v>
      </c>
    </row>
    <row r="22" spans="1:5" ht="23.25">
      <c r="A22" s="70" t="s">
        <v>111</v>
      </c>
      <c r="B22" s="53">
        <v>12521731</v>
      </c>
      <c r="C22" s="53">
        <v>8853424</v>
      </c>
      <c r="D22" s="75"/>
      <c r="E22" s="72">
        <f t="shared" si="1"/>
        <v>3668307</v>
      </c>
    </row>
    <row r="23" spans="1:5" ht="23.25">
      <c r="A23" s="70" t="s">
        <v>7</v>
      </c>
      <c r="B23" s="54">
        <v>3712811.5</v>
      </c>
      <c r="C23" s="54">
        <v>800386.25</v>
      </c>
      <c r="D23" s="75"/>
      <c r="E23" s="72">
        <f t="shared" si="1"/>
        <v>2912425.25</v>
      </c>
    </row>
    <row r="24" spans="1:5" ht="23.25">
      <c r="A24" s="70" t="s">
        <v>8</v>
      </c>
      <c r="B24" s="54">
        <v>7805287.5</v>
      </c>
      <c r="C24" s="54">
        <v>4940200.51</v>
      </c>
      <c r="D24" s="75"/>
      <c r="E24" s="72">
        <f t="shared" si="1"/>
        <v>2865086.99</v>
      </c>
    </row>
    <row r="25" spans="1:5" ht="23.25">
      <c r="A25" s="70" t="s">
        <v>9</v>
      </c>
      <c r="B25" s="54">
        <v>4981840</v>
      </c>
      <c r="C25" s="54">
        <v>2794140.72</v>
      </c>
      <c r="D25" s="75"/>
      <c r="E25" s="72">
        <f t="shared" si="1"/>
        <v>2187699.28</v>
      </c>
    </row>
    <row r="26" spans="1:5" ht="23.25">
      <c r="A26" s="70" t="s">
        <v>10</v>
      </c>
      <c r="B26" s="54">
        <v>540000</v>
      </c>
      <c r="C26" s="54">
        <v>388261.27</v>
      </c>
      <c r="D26" s="75"/>
      <c r="E26" s="72">
        <f t="shared" si="1"/>
        <v>151738.72999999998</v>
      </c>
    </row>
    <row r="27" spans="1:5" ht="23.25">
      <c r="A27" s="70" t="s">
        <v>12</v>
      </c>
      <c r="B27" s="54">
        <v>2337300</v>
      </c>
      <c r="C27" s="54">
        <v>1432344.3</v>
      </c>
      <c r="D27" s="75"/>
      <c r="E27" s="72">
        <f t="shared" si="1"/>
        <v>904955.7</v>
      </c>
    </row>
    <row r="28" spans="1:5" ht="23.25">
      <c r="A28" s="70" t="s">
        <v>13</v>
      </c>
      <c r="B28" s="55">
        <v>10273800</v>
      </c>
      <c r="C28" s="54">
        <v>1988600</v>
      </c>
      <c r="D28" s="75"/>
      <c r="E28" s="55">
        <f t="shared" si="1"/>
        <v>8285200</v>
      </c>
    </row>
    <row r="29" spans="1:5" ht="23.25">
      <c r="A29" s="70" t="s">
        <v>11</v>
      </c>
      <c r="B29" s="54">
        <v>6179600</v>
      </c>
      <c r="C29" s="55">
        <v>1912843.2</v>
      </c>
      <c r="D29" s="75"/>
      <c r="E29" s="72">
        <f t="shared" si="1"/>
        <v>4266756.8</v>
      </c>
    </row>
    <row r="30" spans="1:5" ht="23.25">
      <c r="A30" s="70" t="s">
        <v>154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26803991.249999996</v>
      </c>
      <c r="D31" s="190"/>
      <c r="E31" s="84">
        <f>SUM(E20:E30)</f>
        <v>27257218.75</v>
      </c>
    </row>
    <row r="32" spans="1:5" ht="23.25">
      <c r="A32" s="85"/>
      <c r="B32" s="86"/>
      <c r="C32" s="87"/>
      <c r="D32" s="88"/>
      <c r="E32" s="86"/>
    </row>
    <row r="33" spans="1:5" ht="23.25">
      <c r="A33" s="325" t="s">
        <v>155</v>
      </c>
      <c r="B33" s="325"/>
      <c r="C33" s="87">
        <f>C15-C31</f>
        <v>34719668.260000005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326" t="s">
        <v>156</v>
      </c>
      <c r="B35" s="326"/>
      <c r="C35" s="91"/>
      <c r="D35" s="68"/>
      <c r="E35" s="68"/>
    </row>
    <row r="36" spans="1:5" ht="23.25">
      <c r="A36" s="326" t="s">
        <v>143</v>
      </c>
      <c r="B36" s="326"/>
      <c r="C36" s="326"/>
      <c r="D36" s="326"/>
      <c r="E36" s="326"/>
    </row>
    <row r="37" spans="1:5" ht="23.25">
      <c r="A37" s="326" t="s">
        <v>247</v>
      </c>
      <c r="B37" s="326"/>
      <c r="C37" s="326"/>
      <c r="D37" s="326"/>
      <c r="E37" s="326"/>
    </row>
    <row r="38" spans="1:5" ht="23.25">
      <c r="A38" s="326" t="s">
        <v>262</v>
      </c>
      <c r="B38" s="326"/>
      <c r="C38" s="326"/>
      <c r="D38" s="326"/>
      <c r="E38" s="326"/>
    </row>
    <row r="39" spans="1:5" ht="23.25">
      <c r="A39" s="64" t="s">
        <v>78</v>
      </c>
      <c r="B39" s="64" t="s">
        <v>27</v>
      </c>
      <c r="C39" s="64" t="s">
        <v>144</v>
      </c>
      <c r="D39" s="64" t="s">
        <v>145</v>
      </c>
      <c r="E39" s="64" t="s">
        <v>146</v>
      </c>
    </row>
    <row r="40" spans="1:5" ht="23.25">
      <c r="A40" s="65"/>
      <c r="B40" s="66"/>
      <c r="C40" s="66"/>
      <c r="D40" s="66" t="s">
        <v>147</v>
      </c>
      <c r="E40" s="66" t="s">
        <v>148</v>
      </c>
    </row>
    <row r="41" spans="1:5" ht="23.25">
      <c r="A41" s="67" t="s">
        <v>149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2798358.7</v>
      </c>
      <c r="D42" s="73" t="s">
        <v>147</v>
      </c>
      <c r="E42" s="72">
        <f>B42-C42</f>
        <v>481641.2999999998</v>
      </c>
    </row>
    <row r="43" spans="1:5" ht="23.25">
      <c r="A43" s="70" t="s">
        <v>150</v>
      </c>
      <c r="B43" s="71">
        <v>662000</v>
      </c>
      <c r="C43" s="72">
        <v>677744.6</v>
      </c>
      <c r="D43" s="73" t="s">
        <v>293</v>
      </c>
      <c r="E43" s="72">
        <f>B43-C43</f>
        <v>-15744.599999999977</v>
      </c>
    </row>
    <row r="44" spans="1:5" ht="23.25">
      <c r="A44" s="70" t="s">
        <v>35</v>
      </c>
      <c r="B44" s="71">
        <v>550000</v>
      </c>
      <c r="C44" s="72">
        <v>476836.8</v>
      </c>
      <c r="D44" s="73" t="s">
        <v>147</v>
      </c>
      <c r="E44" s="72">
        <f>B44-C44</f>
        <v>73163.20000000001</v>
      </c>
    </row>
    <row r="45" spans="1:5" ht="23.25">
      <c r="A45" s="70" t="s">
        <v>36</v>
      </c>
      <c r="B45" s="71">
        <v>0</v>
      </c>
      <c r="C45" s="74"/>
      <c r="D45" s="73" t="s">
        <v>147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83830</v>
      </c>
      <c r="D46" s="73" t="s">
        <v>293</v>
      </c>
      <c r="E46" s="72">
        <f t="shared" si="2"/>
        <v>-13830</v>
      </c>
    </row>
    <row r="47" spans="1:5" ht="23.25">
      <c r="A47" s="70" t="s">
        <v>38</v>
      </c>
      <c r="B47" s="71">
        <v>0</v>
      </c>
      <c r="C47" s="74"/>
      <c r="D47" s="73" t="s">
        <v>147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29618465.79</v>
      </c>
      <c r="D48" s="73" t="s">
        <v>147</v>
      </c>
      <c r="E48" s="72">
        <f t="shared" si="2"/>
        <v>9010744.21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147</v>
      </c>
      <c r="E49" s="72">
        <f t="shared" si="2"/>
        <v>515444</v>
      </c>
    </row>
    <row r="50" spans="1:5" ht="24" thickBot="1">
      <c r="A50" s="77" t="s">
        <v>151</v>
      </c>
      <c r="B50" s="78">
        <f>SUM(B42:B49)</f>
        <v>54061210</v>
      </c>
      <c r="C50" s="79">
        <f>SUM(C42:C49)</f>
        <v>44009791.89</v>
      </c>
      <c r="D50" s="191" t="s">
        <v>250</v>
      </c>
      <c r="E50" s="80">
        <f t="shared" si="2"/>
        <v>10051418.11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152</v>
      </c>
      <c r="D52" s="64" t="s">
        <v>145</v>
      </c>
      <c r="E52" s="64" t="s">
        <v>146</v>
      </c>
    </row>
    <row r="53" spans="1:5" ht="23.25">
      <c r="A53" s="65"/>
      <c r="B53" s="66"/>
      <c r="C53" s="66"/>
      <c r="D53" s="66" t="s">
        <v>147</v>
      </c>
      <c r="E53" s="66" t="s">
        <v>148</v>
      </c>
    </row>
    <row r="54" spans="1:5" ht="23.25">
      <c r="A54" s="67" t="s">
        <v>153</v>
      </c>
      <c r="B54" s="71"/>
      <c r="C54" s="82"/>
      <c r="D54" s="71"/>
      <c r="E54" s="82"/>
    </row>
    <row r="55" spans="1:5" ht="23.25">
      <c r="A55" s="70" t="s">
        <v>42</v>
      </c>
      <c r="B55" s="53">
        <v>1929200</v>
      </c>
      <c r="C55" s="53">
        <v>833664</v>
      </c>
      <c r="D55" s="75"/>
      <c r="E55" s="72">
        <f aca="true" t="shared" si="3" ref="E55:E65">B55-C55</f>
        <v>1095536</v>
      </c>
    </row>
    <row r="56" spans="1:5" ht="23.25">
      <c r="A56" s="70" t="s">
        <v>142</v>
      </c>
      <c r="B56" s="53">
        <v>10867201</v>
      </c>
      <c r="C56" s="53">
        <v>7189959</v>
      </c>
      <c r="D56" s="75"/>
      <c r="E56" s="72">
        <f t="shared" si="3"/>
        <v>3677242</v>
      </c>
    </row>
    <row r="57" spans="1:5" ht="23.25">
      <c r="A57" s="70" t="s">
        <v>141</v>
      </c>
      <c r="B57" s="53">
        <v>5434170</v>
      </c>
      <c r="C57" s="53">
        <v>3288154</v>
      </c>
      <c r="D57" s="75"/>
      <c r="E57" s="72">
        <f t="shared" si="3"/>
        <v>2146016</v>
      </c>
    </row>
    <row r="58" spans="1:5" ht="23.25">
      <c r="A58" s="70" t="s">
        <v>7</v>
      </c>
      <c r="B58" s="54">
        <v>3712811.5</v>
      </c>
      <c r="C58" s="54">
        <v>739326.25</v>
      </c>
      <c r="D58" s="75"/>
      <c r="E58" s="72">
        <f t="shared" si="3"/>
        <v>2973485.25</v>
      </c>
    </row>
    <row r="59" spans="1:5" ht="23.25">
      <c r="A59" s="70" t="s">
        <v>8</v>
      </c>
      <c r="B59" s="54">
        <v>7805287.5</v>
      </c>
      <c r="C59" s="54">
        <v>4644405.31</v>
      </c>
      <c r="D59" s="75"/>
      <c r="E59" s="72">
        <f t="shared" si="3"/>
        <v>3160882.1900000004</v>
      </c>
    </row>
    <row r="60" spans="1:5" ht="23.25">
      <c r="A60" s="70" t="s">
        <v>9</v>
      </c>
      <c r="B60" s="54">
        <v>4981840</v>
      </c>
      <c r="C60" s="54">
        <v>2353733.29</v>
      </c>
      <c r="D60" s="75"/>
      <c r="E60" s="72">
        <f t="shared" si="3"/>
        <v>2628106.71</v>
      </c>
    </row>
    <row r="61" spans="1:5" ht="23.25">
      <c r="A61" s="70" t="s">
        <v>10</v>
      </c>
      <c r="B61" s="54">
        <v>540000</v>
      </c>
      <c r="C61" s="54">
        <v>333795.36</v>
      </c>
      <c r="D61" s="75"/>
      <c r="E61" s="72">
        <f t="shared" si="3"/>
        <v>206204.64</v>
      </c>
    </row>
    <row r="62" spans="1:5" ht="23.25">
      <c r="A62" s="70" t="s">
        <v>12</v>
      </c>
      <c r="B62" s="54">
        <v>2337300</v>
      </c>
      <c r="C62" s="54">
        <v>1422344.3</v>
      </c>
      <c r="D62" s="75"/>
      <c r="E62" s="72">
        <f t="shared" si="3"/>
        <v>914955.7</v>
      </c>
    </row>
    <row r="63" spans="1:5" ht="23.25">
      <c r="A63" s="70" t="s">
        <v>13</v>
      </c>
      <c r="B63" s="55">
        <v>10273800</v>
      </c>
      <c r="C63" s="54">
        <v>1959000</v>
      </c>
      <c r="D63" s="75"/>
      <c r="E63" s="55">
        <f t="shared" si="3"/>
        <v>8314800</v>
      </c>
    </row>
    <row r="64" spans="1:5" ht="23.25">
      <c r="A64" s="70" t="s">
        <v>11</v>
      </c>
      <c r="B64" s="54">
        <v>6179600</v>
      </c>
      <c r="C64" s="55">
        <v>1912843.2</v>
      </c>
      <c r="D64" s="75"/>
      <c r="E64" s="72">
        <f t="shared" si="3"/>
        <v>4266756.8</v>
      </c>
    </row>
    <row r="65" spans="1:5" ht="23.25">
      <c r="A65" s="70" t="s">
        <v>154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54061210</v>
      </c>
      <c r="C66" s="84">
        <f>SUM(C55:C65)</f>
        <v>24677224.709999997</v>
      </c>
      <c r="D66" s="190"/>
      <c r="E66" s="84">
        <f>SUM(E55:E65)</f>
        <v>29383985.290000003</v>
      </c>
    </row>
    <row r="67" spans="1:5" ht="23.25">
      <c r="A67" s="85"/>
      <c r="B67" s="86"/>
      <c r="C67" s="87"/>
      <c r="D67" s="88"/>
      <c r="E67" s="86"/>
    </row>
    <row r="68" spans="1:5" ht="23.25">
      <c r="A68" s="325" t="s">
        <v>155</v>
      </c>
      <c r="B68" s="325"/>
      <c r="C68" s="87">
        <f>C50-C66</f>
        <v>19332567.180000003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326" t="s">
        <v>156</v>
      </c>
      <c r="B70" s="326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2014-08-18T05:17:23Z</cp:lastPrinted>
  <dcterms:created xsi:type="dcterms:W3CDTF">2004-06-11T15:17:09Z</dcterms:created>
  <dcterms:modified xsi:type="dcterms:W3CDTF">2014-08-18T05:26:06Z</dcterms:modified>
  <cp:category/>
  <cp:version/>
  <cp:contentType/>
  <cp:contentStatus/>
</cp:coreProperties>
</file>